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590" yWindow="-105" windowWidth="15945" windowHeight="10650" tabRatio="959" firstSheet="5" activeTab="10"/>
  </bookViews>
  <sheets>
    <sheet name="C0201-1産業大分類別就業者数" sheetId="20" r:id="rId1"/>
    <sheet name="C0201-1産業大分類別就業者数 (2)" sheetId="30" r:id="rId2"/>
    <sheet name="C0201-1産業推計" sheetId="21" r:id="rId3"/>
    <sheet name="C0201-1産業推計計算式" sheetId="24" r:id="rId4"/>
    <sheet name="C0201-2職業大分類別就業者数" sheetId="22" r:id="rId5"/>
    <sheet name="C0201-2職業大分類別就業者数 (2)" sheetId="28" r:id="rId6"/>
    <sheet name="C0202-1事業所数・従業者数・売上金額" sheetId="16" r:id="rId7"/>
    <sheet name="C0202-2工業出荷額" sheetId="26" r:id="rId8"/>
    <sheet name="C0202-2将来工業出荷額" sheetId="31" r:id="rId9"/>
    <sheet name="C0202-3商業販売額" sheetId="17" r:id="rId10"/>
    <sheet name="C0202-3将来商業販売額" sheetId="32" r:id="rId11"/>
  </sheets>
  <externalReferences>
    <externalReference r:id="rId12"/>
  </externalReferences>
  <definedNames>
    <definedName name="_5_5_年" localSheetId="10">'[1]1-1-2人口動態'!#REF!</definedName>
    <definedName name="_5_5_年">'[1]1-1-2人口動態'!#REF!</definedName>
    <definedName name="_5_6_年" localSheetId="10">'[1]1-1-2人口動態'!#REF!</definedName>
    <definedName name="_5_6_年">'[1]1-1-2人口動態'!#REF!</definedName>
    <definedName name="_5_7_年" localSheetId="10">'[1]1-1-2人口動態'!#REF!</definedName>
    <definedName name="_5_7_年">'[1]1-1-2人口動態'!#REF!</definedName>
    <definedName name="_xlnm.Print_Area" localSheetId="7">'C0202-2工業出荷額'!$A$33:$L$199,'C0202-2工業出荷額'!$M$33:$X$100</definedName>
    <definedName name="_xlnm.Print_Area" localSheetId="9">'C0202-3商業販売額'!$A$1:$O$115</definedName>
    <definedName name="_xlnm.Print_Area" localSheetId="10">'C0202-3将来商業販売額'!$A$1:$AC$28</definedName>
  </definedNames>
  <calcPr calcId="125725"/>
</workbook>
</file>

<file path=xl/calcChain.xml><?xml version="1.0" encoding="utf-8"?>
<calcChain xmlns="http://schemas.openxmlformats.org/spreadsheetml/2006/main">
  <c r="E36" i="26"/>
  <c r="J5" i="31" l="1"/>
  <c r="I5"/>
  <c r="H5"/>
  <c r="G5"/>
  <c r="F5"/>
  <c r="E5"/>
  <c r="D51" i="22" l="1"/>
  <c r="D53"/>
  <c r="F53"/>
  <c r="F51"/>
  <c r="F49"/>
  <c r="F47"/>
  <c r="F45"/>
  <c r="F43"/>
  <c r="F41"/>
  <c r="F39"/>
  <c r="F37"/>
  <c r="F35"/>
  <c r="F33"/>
  <c r="E53"/>
  <c r="J26"/>
  <c r="J24"/>
  <c r="J22"/>
  <c r="J20"/>
  <c r="J18"/>
  <c r="J16"/>
  <c r="J14"/>
  <c r="J12"/>
  <c r="J10"/>
  <c r="J8"/>
  <c r="J6"/>
  <c r="I26"/>
  <c r="F24"/>
  <c r="F22"/>
  <c r="F16"/>
  <c r="F14"/>
  <c r="F8"/>
  <c r="F6"/>
  <c r="E26"/>
  <c r="F26" s="1"/>
  <c r="C53"/>
  <c r="D47" s="1"/>
  <c r="J52" i="20"/>
  <c r="J51"/>
  <c r="J50"/>
  <c r="J49"/>
  <c r="J48"/>
  <c r="J47"/>
  <c r="J46"/>
  <c r="J45"/>
  <c r="J44"/>
  <c r="J43"/>
  <c r="J42"/>
  <c r="J41"/>
  <c r="J40"/>
  <c r="J39"/>
  <c r="J38"/>
  <c r="J37"/>
  <c r="J36"/>
  <c r="J35"/>
  <c r="J34"/>
  <c r="J33"/>
  <c r="J31"/>
  <c r="J30"/>
  <c r="F52"/>
  <c r="F51"/>
  <c r="F50"/>
  <c r="F49"/>
  <c r="F48"/>
  <c r="F47"/>
  <c r="F46"/>
  <c r="F45"/>
  <c r="F44"/>
  <c r="F43"/>
  <c r="F42"/>
  <c r="F41"/>
  <c r="F40"/>
  <c r="F39"/>
  <c r="F38"/>
  <c r="F37"/>
  <c r="F36"/>
  <c r="F35"/>
  <c r="F34"/>
  <c r="F33"/>
  <c r="F31"/>
  <c r="F30"/>
  <c r="R23"/>
  <c r="R22"/>
  <c r="R21"/>
  <c r="R20"/>
  <c r="R19"/>
  <c r="R18"/>
  <c r="R17"/>
  <c r="R16"/>
  <c r="R15"/>
  <c r="R14"/>
  <c r="R13"/>
  <c r="R12"/>
  <c r="R11"/>
  <c r="R9"/>
  <c r="R7"/>
  <c r="R6"/>
  <c r="N23"/>
  <c r="N22"/>
  <c r="N21"/>
  <c r="N20"/>
  <c r="N19"/>
  <c r="N18"/>
  <c r="N17"/>
  <c r="N16"/>
  <c r="N15"/>
  <c r="N14"/>
  <c r="N13"/>
  <c r="N12"/>
  <c r="N11"/>
  <c r="N9"/>
  <c r="N7"/>
  <c r="N6"/>
  <c r="F23"/>
  <c r="F22"/>
  <c r="F21"/>
  <c r="F20"/>
  <c r="F19"/>
  <c r="F18"/>
  <c r="F17"/>
  <c r="F16"/>
  <c r="F15"/>
  <c r="F14"/>
  <c r="F13"/>
  <c r="F12"/>
  <c r="F11"/>
  <c r="F10"/>
  <c r="F9"/>
  <c r="F7"/>
  <c r="F6"/>
  <c r="H52"/>
  <c r="H50"/>
  <c r="H37"/>
  <c r="H33"/>
  <c r="P9"/>
  <c r="L9"/>
  <c r="H9"/>
  <c r="P13"/>
  <c r="L13"/>
  <c r="H13"/>
  <c r="P21"/>
  <c r="L21"/>
  <c r="H21"/>
  <c r="D23"/>
  <c r="D21"/>
  <c r="D13"/>
  <c r="D9"/>
  <c r="F12" i="22" l="1"/>
  <c r="F20"/>
  <c r="F10"/>
  <c r="F18"/>
  <c r="D49"/>
  <c r="D33"/>
  <c r="D43"/>
  <c r="D41"/>
  <c r="D37"/>
  <c r="D35"/>
  <c r="D45"/>
  <c r="D39"/>
  <c r="P23" i="20"/>
  <c r="L23"/>
  <c r="H23"/>
  <c r="D50"/>
  <c r="D37"/>
  <c r="D33"/>
  <c r="AG25" i="32"/>
  <c r="AF25" s="1"/>
  <c r="AG26" s="1"/>
  <c r="AF23"/>
  <c r="AG24" s="1"/>
  <c r="AG23"/>
  <c r="AG9"/>
  <c r="AG19"/>
  <c r="AF19" s="1"/>
  <c r="AF20" s="1"/>
  <c r="AF21" s="1"/>
  <c r="AG18"/>
  <c r="AG16"/>
  <c r="AF16" s="1"/>
  <c r="AF17" s="1"/>
  <c r="AG14"/>
  <c r="AF14"/>
  <c r="AG15" s="1"/>
  <c r="AG13"/>
  <c r="AG11"/>
  <c r="AF11" s="1"/>
  <c r="AF12" s="1"/>
  <c r="AF9"/>
  <c r="AG10" s="1"/>
  <c r="AG6"/>
  <c r="AF6" s="1"/>
  <c r="Q5" s="1"/>
  <c r="Q9"/>
  <c r="J20" i="20" l="1"/>
  <c r="J16"/>
  <c r="J12"/>
  <c r="J7"/>
  <c r="J21"/>
  <c r="J17"/>
  <c r="J13"/>
  <c r="J9"/>
  <c r="J22"/>
  <c r="J18"/>
  <c r="J14"/>
  <c r="J23"/>
  <c r="J19"/>
  <c r="J15"/>
  <c r="J11"/>
  <c r="J6"/>
  <c r="D52"/>
  <c r="AG22" i="32"/>
  <c r="Q8"/>
  <c r="Q6"/>
  <c r="Q7"/>
  <c r="AF7"/>
  <c r="AG8" s="1"/>
  <c r="H5"/>
  <c r="G5"/>
  <c r="F5"/>
  <c r="E5"/>
  <c r="I95" i="17"/>
  <c r="R58"/>
  <c r="R57"/>
  <c r="R56"/>
  <c r="K106" s="1"/>
  <c r="R55"/>
  <c r="R54"/>
  <c r="I110" s="1"/>
  <c r="R53"/>
  <c r="R52"/>
  <c r="R51"/>
  <c r="R50"/>
  <c r="R49"/>
  <c r="R48"/>
  <c r="R47"/>
  <c r="R46"/>
  <c r="R45"/>
  <c r="R44"/>
  <c r="R43"/>
  <c r="R42"/>
  <c r="R41"/>
  <c r="R40"/>
  <c r="R39"/>
  <c r="R38"/>
  <c r="R37"/>
  <c r="R36"/>
  <c r="R35"/>
  <c r="R34"/>
  <c r="R33"/>
  <c r="R32"/>
  <c r="R31"/>
  <c r="V15" i="31" l="1"/>
  <c r="W22" s="1"/>
  <c r="L7" s="1"/>
  <c r="V14"/>
  <c r="W21" s="1"/>
  <c r="L6" s="1"/>
  <c r="I106" i="17"/>
  <c r="K107"/>
  <c r="K103"/>
  <c r="K92" s="1"/>
  <c r="K95"/>
  <c r="I108"/>
  <c r="K110"/>
  <c r="I107"/>
  <c r="K98"/>
  <c r="K108"/>
  <c r="I103"/>
  <c r="I92" s="1"/>
  <c r="X88" i="26"/>
  <c r="X86"/>
  <c r="X84"/>
  <c r="X83"/>
  <c r="X82"/>
  <c r="X76"/>
  <c r="X73"/>
  <c r="X71"/>
  <c r="V88"/>
  <c r="V84"/>
  <c r="V83"/>
  <c r="V82"/>
  <c r="V76"/>
  <c r="V73"/>
  <c r="V71"/>
  <c r="T88"/>
  <c r="T84"/>
  <c r="T83"/>
  <c r="T82"/>
  <c r="T76"/>
  <c r="T74"/>
  <c r="T73"/>
  <c r="T71"/>
  <c r="R88"/>
  <c r="R84"/>
  <c r="R83"/>
  <c r="R82"/>
  <c r="R76"/>
  <c r="R73"/>
  <c r="R71"/>
  <c r="P88"/>
  <c r="P84"/>
  <c r="P83"/>
  <c r="P82"/>
  <c r="P76"/>
  <c r="P73"/>
  <c r="P71"/>
  <c r="I190"/>
  <c r="I189"/>
  <c r="K104"/>
  <c r="AB63"/>
  <c r="AB62"/>
  <c r="AB61"/>
  <c r="AB60"/>
  <c r="AB59"/>
  <c r="AB58"/>
  <c r="AB57"/>
  <c r="AB56"/>
  <c r="AB55"/>
  <c r="AB54"/>
  <c r="AB53"/>
  <c r="AB52"/>
  <c r="AB51"/>
  <c r="AB50"/>
  <c r="AB49"/>
  <c r="AB48"/>
  <c r="AB47"/>
  <c r="AB46"/>
  <c r="AB45"/>
  <c r="AB44"/>
  <c r="AB43"/>
  <c r="AB42"/>
  <c r="AB41"/>
  <c r="AB40"/>
  <c r="AB39"/>
  <c r="AB38"/>
  <c r="AB37"/>
  <c r="AB36"/>
  <c r="Y21" i="31" l="1"/>
  <c r="M6" s="1"/>
  <c r="Y22"/>
  <c r="M7" s="1"/>
  <c r="AA21"/>
  <c r="N6" s="1"/>
  <c r="AA22"/>
  <c r="N7" s="1"/>
  <c r="U22"/>
  <c r="K7" s="1"/>
  <c r="U21"/>
  <c r="K6" s="1"/>
  <c r="V197" i="16"/>
  <c r="V165" l="1"/>
  <c r="AC225"/>
  <c r="AA225"/>
  <c r="Z225"/>
  <c r="Y225"/>
  <c r="X225"/>
  <c r="W225"/>
  <c r="V225"/>
  <c r="AC197" l="1"/>
  <c r="AB197"/>
  <c r="AA197"/>
  <c r="Z197"/>
  <c r="Y197"/>
  <c r="X197"/>
  <c r="W197"/>
  <c r="K233"/>
  <c r="I233"/>
  <c r="H233"/>
  <c r="G233"/>
  <c r="F233"/>
  <c r="E233"/>
  <c r="D232"/>
  <c r="D231"/>
  <c r="D230"/>
  <c r="D233" l="1"/>
  <c r="R28" i="28"/>
  <c r="R26"/>
  <c r="R24"/>
  <c r="R22"/>
  <c r="R20"/>
  <c r="R18"/>
  <c r="R16"/>
  <c r="R14"/>
  <c r="R12"/>
  <c r="R10"/>
  <c r="R8"/>
  <c r="R6"/>
  <c r="N6"/>
  <c r="J6" i="21" l="1"/>
  <c r="K6"/>
  <c r="L6"/>
  <c r="M6"/>
  <c r="J7"/>
  <c r="K7"/>
  <c r="L7"/>
  <c r="M7"/>
  <c r="J8"/>
  <c r="K8"/>
  <c r="L8"/>
  <c r="M8"/>
  <c r="J9"/>
  <c r="K9"/>
  <c r="L9"/>
  <c r="M9"/>
  <c r="J10"/>
  <c r="K10"/>
  <c r="L10"/>
  <c r="M10"/>
  <c r="J15"/>
  <c r="K15"/>
  <c r="L15"/>
  <c r="M15"/>
  <c r="J16"/>
  <c r="K16"/>
  <c r="L16"/>
  <c r="M16"/>
  <c r="J17"/>
  <c r="K17"/>
  <c r="L17"/>
  <c r="M17"/>
  <c r="J18"/>
  <c r="K18"/>
  <c r="L18"/>
  <c r="M18"/>
  <c r="J19"/>
  <c r="K19"/>
  <c r="L19"/>
  <c r="M19"/>
  <c r="J24"/>
  <c r="K24"/>
  <c r="L24"/>
  <c r="M24"/>
  <c r="J25"/>
  <c r="K25"/>
  <c r="L25"/>
  <c r="M25"/>
  <c r="J26"/>
  <c r="K26"/>
  <c r="L26"/>
  <c r="M26"/>
  <c r="J27"/>
  <c r="K27"/>
  <c r="L27"/>
  <c r="M27"/>
  <c r="J28"/>
  <c r="K28"/>
  <c r="L28"/>
  <c r="M28"/>
  <c r="G83" i="24"/>
  <c r="F90"/>
  <c r="P30" i="28"/>
  <c r="R30"/>
  <c r="N30"/>
  <c r="J30"/>
  <c r="N28"/>
  <c r="N26"/>
  <c r="N24"/>
  <c r="N22"/>
  <c r="N20"/>
  <c r="N18"/>
  <c r="N16"/>
  <c r="N14"/>
  <c r="N12"/>
  <c r="N10"/>
  <c r="N8"/>
  <c r="J28"/>
  <c r="J26"/>
  <c r="J24"/>
  <c r="J22"/>
  <c r="J20"/>
  <c r="J18"/>
  <c r="J16"/>
  <c r="J14"/>
  <c r="J12"/>
  <c r="J10"/>
  <c r="J8"/>
  <c r="J6"/>
  <c r="H30"/>
  <c r="L30"/>
  <c r="P27" i="30" l="1"/>
  <c r="P12"/>
  <c r="P8"/>
  <c r="P29" s="1"/>
  <c r="L29"/>
  <c r="D29"/>
  <c r="N28"/>
  <c r="N27"/>
  <c r="N26"/>
  <c r="N25"/>
  <c r="N24"/>
  <c r="N23"/>
  <c r="N22"/>
  <c r="N21"/>
  <c r="N20"/>
  <c r="N19"/>
  <c r="N18"/>
  <c r="N17"/>
  <c r="N16"/>
  <c r="N15"/>
  <c r="N14"/>
  <c r="N13"/>
  <c r="N12"/>
  <c r="N11"/>
  <c r="N10"/>
  <c r="N9"/>
  <c r="N8"/>
  <c r="N6"/>
  <c r="L8"/>
  <c r="L12"/>
  <c r="L27"/>
  <c r="R8" l="1"/>
  <c r="N29"/>
  <c r="F8"/>
  <c r="F6"/>
  <c r="J9"/>
  <c r="F11"/>
  <c r="R29" l="1"/>
  <c r="R28"/>
  <c r="R24"/>
  <c r="R20"/>
  <c r="R16"/>
  <c r="R12"/>
  <c r="R25"/>
  <c r="R21"/>
  <c r="R13"/>
  <c r="R9"/>
  <c r="R26"/>
  <c r="R22"/>
  <c r="R18"/>
  <c r="R14"/>
  <c r="R10"/>
  <c r="R11"/>
  <c r="R17"/>
  <c r="R27"/>
  <c r="R19"/>
  <c r="R15"/>
  <c r="R6"/>
  <c r="R23"/>
  <c r="S10" i="31"/>
  <c r="T15" i="32" l="1"/>
  <c r="T14"/>
  <c r="Q10"/>
  <c r="V16" s="1"/>
  <c r="Y9"/>
  <c r="Z9" s="1"/>
  <c r="V9"/>
  <c r="W9" s="1"/>
  <c r="S9"/>
  <c r="T9" s="1"/>
  <c r="R9"/>
  <c r="AA8"/>
  <c r="Y8"/>
  <c r="Z8" s="1"/>
  <c r="V8"/>
  <c r="W8" s="1"/>
  <c r="S8"/>
  <c r="T8" s="1"/>
  <c r="R8"/>
  <c r="AA7"/>
  <c r="Y7"/>
  <c r="Z7" s="1"/>
  <c r="V7"/>
  <c r="W7" s="1"/>
  <c r="S7"/>
  <c r="T7" s="1"/>
  <c r="R7"/>
  <c r="AA6"/>
  <c r="Y6"/>
  <c r="V6"/>
  <c r="W6" s="1"/>
  <c r="S6"/>
  <c r="T6" s="1"/>
  <c r="R6"/>
  <c r="AA5"/>
  <c r="AB9" s="1"/>
  <c r="V5"/>
  <c r="W5" s="1"/>
  <c r="S5"/>
  <c r="R5"/>
  <c r="X16" i="31"/>
  <c r="AA9"/>
  <c r="AB9" s="1"/>
  <c r="X9"/>
  <c r="Y9" s="1"/>
  <c r="U9"/>
  <c r="V9" s="1"/>
  <c r="T9"/>
  <c r="AC8"/>
  <c r="AA8"/>
  <c r="AB8" s="1"/>
  <c r="X8"/>
  <c r="Y8" s="1"/>
  <c r="U8"/>
  <c r="V8" s="1"/>
  <c r="T8"/>
  <c r="AC7"/>
  <c r="AB7"/>
  <c r="AA7"/>
  <c r="X7"/>
  <c r="Y7" s="1"/>
  <c r="W7"/>
  <c r="V7"/>
  <c r="U7"/>
  <c r="T7"/>
  <c r="AC6"/>
  <c r="AA6"/>
  <c r="X6"/>
  <c r="Y6" s="1"/>
  <c r="U6"/>
  <c r="V6" s="1"/>
  <c r="T6"/>
  <c r="AC5"/>
  <c r="AD9" s="1"/>
  <c r="X5"/>
  <c r="Y5" s="1"/>
  <c r="W5"/>
  <c r="U5"/>
  <c r="V5" s="1"/>
  <c r="T5"/>
  <c r="F13" i="30"/>
  <c r="D27"/>
  <c r="D12"/>
  <c r="D8"/>
  <c r="H27"/>
  <c r="H12"/>
  <c r="H8"/>
  <c r="E82" i="17"/>
  <c r="G181" i="26"/>
  <c r="J190"/>
  <c r="H190"/>
  <c r="J189"/>
  <c r="H189"/>
  <c r="F189"/>
  <c r="D189"/>
  <c r="J188"/>
  <c r="H188"/>
  <c r="F188"/>
  <c r="D188"/>
  <c r="J187"/>
  <c r="H187"/>
  <c r="F187"/>
  <c r="D187"/>
  <c r="J186"/>
  <c r="K186" s="1"/>
  <c r="H186"/>
  <c r="F186"/>
  <c r="D186"/>
  <c r="J181"/>
  <c r="H181"/>
  <c r="F181"/>
  <c r="D181"/>
  <c r="J176"/>
  <c r="H176"/>
  <c r="F176"/>
  <c r="J174"/>
  <c r="H174"/>
  <c r="F174"/>
  <c r="D174"/>
  <c r="J172"/>
  <c r="H172"/>
  <c r="F172"/>
  <c r="D172"/>
  <c r="G56"/>
  <c r="I59"/>
  <c r="K62"/>
  <c r="E91"/>
  <c r="G93"/>
  <c r="I96"/>
  <c r="K91"/>
  <c r="E130"/>
  <c r="G124"/>
  <c r="I119"/>
  <c r="K125"/>
  <c r="G154"/>
  <c r="K154"/>
  <c r="E174"/>
  <c r="P52"/>
  <c r="R42"/>
  <c r="T37"/>
  <c r="V48"/>
  <c r="X48"/>
  <c r="D30" i="28"/>
  <c r="F28" s="1"/>
  <c r="Y22" i="32" l="1"/>
  <c r="L7" s="1"/>
  <c r="S22"/>
  <c r="I7" s="1"/>
  <c r="W22"/>
  <c r="K7" s="1"/>
  <c r="U22"/>
  <c r="J7" s="1"/>
  <c r="U21"/>
  <c r="J6" s="1"/>
  <c r="S21"/>
  <c r="I6" s="1"/>
  <c r="W21"/>
  <c r="K6" s="1"/>
  <c r="Y21"/>
  <c r="L6" s="1"/>
  <c r="S10"/>
  <c r="U7"/>
  <c r="U9"/>
  <c r="Y10"/>
  <c r="K188" i="26"/>
  <c r="E187"/>
  <c r="E188"/>
  <c r="E41"/>
  <c r="E56"/>
  <c r="E39"/>
  <c r="E54"/>
  <c r="E62"/>
  <c r="E38"/>
  <c r="E50"/>
  <c r="E59"/>
  <c r="E46"/>
  <c r="E57"/>
  <c r="I188"/>
  <c r="E172"/>
  <c r="G176"/>
  <c r="G188"/>
  <c r="G189"/>
  <c r="G38"/>
  <c r="G127"/>
  <c r="G119"/>
  <c r="K138"/>
  <c r="V53"/>
  <c r="K190"/>
  <c r="E186"/>
  <c r="G88"/>
  <c r="V45"/>
  <c r="G187"/>
  <c r="G57"/>
  <c r="K155"/>
  <c r="E127"/>
  <c r="G72"/>
  <c r="E119"/>
  <c r="G125"/>
  <c r="V42"/>
  <c r="K172"/>
  <c r="I181"/>
  <c r="K181"/>
  <c r="G46"/>
  <c r="G59"/>
  <c r="E90"/>
  <c r="G90"/>
  <c r="G104"/>
  <c r="G110"/>
  <c r="G121"/>
  <c r="K147"/>
  <c r="V37"/>
  <c r="V47"/>
  <c r="G172"/>
  <c r="E181"/>
  <c r="E189"/>
  <c r="G186"/>
  <c r="I174"/>
  <c r="I187"/>
  <c r="K174"/>
  <c r="K187"/>
  <c r="E88"/>
  <c r="E104"/>
  <c r="I186"/>
  <c r="G54"/>
  <c r="G70"/>
  <c r="G96"/>
  <c r="G116"/>
  <c r="K153"/>
  <c r="V51"/>
  <c r="K189"/>
  <c r="G50"/>
  <c r="G62"/>
  <c r="E96"/>
  <c r="G91"/>
  <c r="E106"/>
  <c r="G112"/>
  <c r="G122"/>
  <c r="K152"/>
  <c r="V39"/>
  <c r="V49"/>
  <c r="G138"/>
  <c r="I172"/>
  <c r="G174"/>
  <c r="I176"/>
  <c r="K176"/>
  <c r="G110" i="17"/>
  <c r="G103"/>
  <c r="G106"/>
  <c r="G95"/>
  <c r="G107"/>
  <c r="G108"/>
  <c r="G98"/>
  <c r="R10" i="32"/>
  <c r="V17" s="1"/>
  <c r="AB7"/>
  <c r="AB6"/>
  <c r="AB8"/>
  <c r="AA10" i="31"/>
  <c r="W9"/>
  <c r="T10"/>
  <c r="W16" s="1"/>
  <c r="V10"/>
  <c r="W17" s="1"/>
  <c r="AD8"/>
  <c r="AD6"/>
  <c r="AD7"/>
  <c r="Y10"/>
  <c r="W10" i="32"/>
  <c r="V18" s="1"/>
  <c r="U10" i="31"/>
  <c r="V10" i="32"/>
  <c r="U18" s="1"/>
  <c r="X10" i="31"/>
  <c r="W18" s="1"/>
  <c r="U5" i="32"/>
  <c r="U6"/>
  <c r="Z6"/>
  <c r="Z10" s="1"/>
  <c r="U8"/>
  <c r="W6" i="31"/>
  <c r="AB6"/>
  <c r="AB10" s="1"/>
  <c r="W8"/>
  <c r="T5" i="32"/>
  <c r="T10" s="1"/>
  <c r="H29" i="30"/>
  <c r="J10" s="1"/>
  <c r="F12"/>
  <c r="K59" i="26"/>
  <c r="I85"/>
  <c r="I116"/>
  <c r="K124"/>
  <c r="G153"/>
  <c r="X37"/>
  <c r="T48"/>
  <c r="P39"/>
  <c r="P49"/>
  <c r="R40"/>
  <c r="R49"/>
  <c r="X47"/>
  <c r="I36"/>
  <c r="I46"/>
  <c r="I70"/>
  <c r="K78"/>
  <c r="I39"/>
  <c r="I80"/>
  <c r="K76"/>
  <c r="K96"/>
  <c r="E116"/>
  <c r="I112"/>
  <c r="X53"/>
  <c r="I57"/>
  <c r="K46"/>
  <c r="I72"/>
  <c r="I93"/>
  <c r="K90"/>
  <c r="I125"/>
  <c r="K36"/>
  <c r="I56"/>
  <c r="K38"/>
  <c r="K57"/>
  <c r="E80"/>
  <c r="E93"/>
  <c r="I91"/>
  <c r="K88"/>
  <c r="E125"/>
  <c r="I124"/>
  <c r="K122"/>
  <c r="G152"/>
  <c r="T47"/>
  <c r="P37"/>
  <c r="P48"/>
  <c r="R39"/>
  <c r="R48"/>
  <c r="X42"/>
  <c r="G36"/>
  <c r="G39"/>
  <c r="I38"/>
  <c r="I54"/>
  <c r="I62"/>
  <c r="K56"/>
  <c r="E70"/>
  <c r="E72"/>
  <c r="G80"/>
  <c r="I78"/>
  <c r="I90"/>
  <c r="K72"/>
  <c r="K85"/>
  <c r="K93"/>
  <c r="I104"/>
  <c r="E112"/>
  <c r="E124"/>
  <c r="G106"/>
  <c r="G118"/>
  <c r="I110"/>
  <c r="I122"/>
  <c r="K116"/>
  <c r="K127"/>
  <c r="G147"/>
  <c r="K140"/>
  <c r="R37"/>
  <c r="T40"/>
  <c r="T53"/>
  <c r="P47"/>
  <c r="P53"/>
  <c r="R47"/>
  <c r="V40"/>
  <c r="X39"/>
  <c r="X49"/>
  <c r="I50"/>
  <c r="K54"/>
  <c r="K70"/>
  <c r="I76"/>
  <c r="I88"/>
  <c r="K82"/>
  <c r="E110"/>
  <c r="E122"/>
  <c r="I106"/>
  <c r="K106"/>
  <c r="G140"/>
  <c r="T39"/>
  <c r="T49"/>
  <c r="P40"/>
  <c r="F18" i="28"/>
  <c r="F8"/>
  <c r="F6"/>
  <c r="F16"/>
  <c r="F26"/>
  <c r="F14"/>
  <c r="F24"/>
  <c r="F10"/>
  <c r="F22"/>
  <c r="F12"/>
  <c r="F20"/>
  <c r="AC165" i="16"/>
  <c r="X165"/>
  <c r="Y165"/>
  <c r="Z165"/>
  <c r="AA165"/>
  <c r="W165"/>
  <c r="V134"/>
  <c r="X134"/>
  <c r="Y134"/>
  <c r="Z134"/>
  <c r="AA134"/>
  <c r="W134"/>
  <c r="AC134"/>
  <c r="AB134"/>
  <c r="Y54"/>
  <c r="X54"/>
  <c r="W54"/>
  <c r="V45"/>
  <c r="V44"/>
  <c r="V54" s="1"/>
  <c r="AC17"/>
  <c r="Y17"/>
  <c r="X17"/>
  <c r="W17"/>
  <c r="V11"/>
  <c r="V10"/>
  <c r="V8"/>
  <c r="V7"/>
  <c r="V34"/>
  <c r="G84" i="24"/>
  <c r="F91"/>
  <c r="D79"/>
  <c r="I85"/>
  <c r="L78"/>
  <c r="M78"/>
  <c r="I78"/>
  <c r="J78"/>
  <c r="H78"/>
  <c r="G78"/>
  <c r="F78"/>
  <c r="E78"/>
  <c r="N77"/>
  <c r="L77"/>
  <c r="M77"/>
  <c r="I77"/>
  <c r="J77"/>
  <c r="F77"/>
  <c r="H77"/>
  <c r="E77"/>
  <c r="N76"/>
  <c r="L76"/>
  <c r="M76"/>
  <c r="I76"/>
  <c r="J76"/>
  <c r="F76"/>
  <c r="H76"/>
  <c r="E76"/>
  <c r="N75"/>
  <c r="L75"/>
  <c r="I75"/>
  <c r="J75"/>
  <c r="G75"/>
  <c r="F75"/>
  <c r="H75"/>
  <c r="E75"/>
  <c r="N74"/>
  <c r="O78"/>
  <c r="J74"/>
  <c r="I74"/>
  <c r="F74"/>
  <c r="E74"/>
  <c r="G49"/>
  <c r="F56"/>
  <c r="G48"/>
  <c r="F55"/>
  <c r="D44"/>
  <c r="I50"/>
  <c r="L43"/>
  <c r="M43"/>
  <c r="I43"/>
  <c r="J43"/>
  <c r="F43"/>
  <c r="G43"/>
  <c r="E43"/>
  <c r="N42"/>
  <c r="L42"/>
  <c r="M42"/>
  <c r="I42"/>
  <c r="J42"/>
  <c r="F42"/>
  <c r="H42"/>
  <c r="E42"/>
  <c r="N41"/>
  <c r="L41"/>
  <c r="M41"/>
  <c r="I41"/>
  <c r="J41"/>
  <c r="F41"/>
  <c r="H41"/>
  <c r="E41"/>
  <c r="N40"/>
  <c r="L40"/>
  <c r="I40"/>
  <c r="J40"/>
  <c r="F40"/>
  <c r="H40"/>
  <c r="E40"/>
  <c r="N39"/>
  <c r="O43"/>
  <c r="I39"/>
  <c r="J39"/>
  <c r="F39"/>
  <c r="E39"/>
  <c r="G14"/>
  <c r="J21" s="1"/>
  <c r="G13"/>
  <c r="F20" s="1"/>
  <c r="D9"/>
  <c r="I15" s="1"/>
  <c r="L8"/>
  <c r="M8"/>
  <c r="I8"/>
  <c r="J8" s="1"/>
  <c r="F8"/>
  <c r="G8"/>
  <c r="E8"/>
  <c r="N7"/>
  <c r="O7" s="1"/>
  <c r="L7"/>
  <c r="M7"/>
  <c r="I7"/>
  <c r="J7" s="1"/>
  <c r="F7"/>
  <c r="H7"/>
  <c r="E7"/>
  <c r="N6"/>
  <c r="O6" s="1"/>
  <c r="L6"/>
  <c r="M6"/>
  <c r="I6"/>
  <c r="I9" s="1"/>
  <c r="H17" s="1"/>
  <c r="F6"/>
  <c r="G6"/>
  <c r="E6"/>
  <c r="N5"/>
  <c r="L5"/>
  <c r="I5"/>
  <c r="J5"/>
  <c r="F5"/>
  <c r="H5"/>
  <c r="E5"/>
  <c r="N4"/>
  <c r="O8" s="1"/>
  <c r="I4"/>
  <c r="J4" s="1"/>
  <c r="F4"/>
  <c r="E4"/>
  <c r="H56"/>
  <c r="E79"/>
  <c r="H85"/>
  <c r="G40"/>
  <c r="H8"/>
  <c r="G5"/>
  <c r="H43"/>
  <c r="H6"/>
  <c r="F9"/>
  <c r="L9"/>
  <c r="F44"/>
  <c r="L44"/>
  <c r="G41"/>
  <c r="O41"/>
  <c r="F79"/>
  <c r="L79"/>
  <c r="G76"/>
  <c r="O76"/>
  <c r="E9"/>
  <c r="H15" s="1"/>
  <c r="G7"/>
  <c r="G9" s="1"/>
  <c r="E44"/>
  <c r="I51"/>
  <c r="G42"/>
  <c r="G77"/>
  <c r="O42"/>
  <c r="O77"/>
  <c r="H20"/>
  <c r="I44"/>
  <c r="H52"/>
  <c r="O40"/>
  <c r="H55"/>
  <c r="I79"/>
  <c r="H87"/>
  <c r="O75"/>
  <c r="J44"/>
  <c r="J79"/>
  <c r="I87"/>
  <c r="J94"/>
  <c r="H4"/>
  <c r="L20"/>
  <c r="H39"/>
  <c r="H44"/>
  <c r="L55"/>
  <c r="L56"/>
  <c r="H74"/>
  <c r="H79"/>
  <c r="L90"/>
  <c r="L91"/>
  <c r="G4"/>
  <c r="M5"/>
  <c r="M9"/>
  <c r="J20"/>
  <c r="G39"/>
  <c r="M40"/>
  <c r="M44"/>
  <c r="J55"/>
  <c r="J56"/>
  <c r="G74"/>
  <c r="M75"/>
  <c r="M79"/>
  <c r="J90"/>
  <c r="J91"/>
  <c r="H90"/>
  <c r="H91"/>
  <c r="I86"/>
  <c r="H50"/>
  <c r="J57"/>
  <c r="I52"/>
  <c r="J59"/>
  <c r="L94"/>
  <c r="H94"/>
  <c r="H9"/>
  <c r="G79"/>
  <c r="H86"/>
  <c r="G44"/>
  <c r="H51"/>
  <c r="F94"/>
  <c r="F57"/>
  <c r="H57"/>
  <c r="J51"/>
  <c r="F58"/>
  <c r="F92"/>
  <c r="H92"/>
  <c r="J92"/>
  <c r="L92"/>
  <c r="L57"/>
  <c r="J86"/>
  <c r="J93"/>
  <c r="H58"/>
  <c r="H93"/>
  <c r="H59"/>
  <c r="F59"/>
  <c r="L93"/>
  <c r="L59"/>
  <c r="L58"/>
  <c r="J58"/>
  <c r="F93"/>
  <c r="G26" i="22"/>
  <c r="C26"/>
  <c r="D6" s="1"/>
  <c r="D5" i="16"/>
  <c r="K5"/>
  <c r="D6"/>
  <c r="K6"/>
  <c r="D7"/>
  <c r="K7"/>
  <c r="D8"/>
  <c r="K8"/>
  <c r="D9"/>
  <c r="K9"/>
  <c r="D10"/>
  <c r="K10"/>
  <c r="D11"/>
  <c r="K11"/>
  <c r="D12"/>
  <c r="K12"/>
  <c r="D13"/>
  <c r="K13"/>
  <c r="D14"/>
  <c r="K14"/>
  <c r="D15"/>
  <c r="K15"/>
  <c r="E17"/>
  <c r="F17"/>
  <c r="G17"/>
  <c r="J17"/>
  <c r="L17"/>
  <c r="M17"/>
  <c r="N17"/>
  <c r="Q17"/>
  <c r="D23"/>
  <c r="D24"/>
  <c r="D25"/>
  <c r="D27"/>
  <c r="D28"/>
  <c r="E34"/>
  <c r="F34"/>
  <c r="G34"/>
  <c r="H34"/>
  <c r="I34"/>
  <c r="J34"/>
  <c r="V70"/>
  <c r="AC70"/>
  <c r="V90"/>
  <c r="AC90"/>
  <c r="F5" i="17"/>
  <c r="H5"/>
  <c r="J5"/>
  <c r="F11"/>
  <c r="H11"/>
  <c r="J11"/>
  <c r="L11"/>
  <c r="F39"/>
  <c r="J48"/>
  <c r="L39"/>
  <c r="I33"/>
  <c r="F82"/>
  <c r="I39"/>
  <c r="L44"/>
  <c r="F46"/>
  <c r="H49"/>
  <c r="M33"/>
  <c r="E62"/>
  <c r="G62"/>
  <c r="M36"/>
  <c r="N36" s="1"/>
  <c r="E65"/>
  <c r="G65"/>
  <c r="H65" s="1"/>
  <c r="M39"/>
  <c r="N39" s="1"/>
  <c r="E72"/>
  <c r="G72"/>
  <c r="M43"/>
  <c r="N43" s="1"/>
  <c r="E76"/>
  <c r="F76" s="1"/>
  <c r="G76"/>
  <c r="M44"/>
  <c r="N44" s="1"/>
  <c r="E77"/>
  <c r="F77" s="1"/>
  <c r="G77"/>
  <c r="M46"/>
  <c r="E79"/>
  <c r="F79" s="1"/>
  <c r="G79"/>
  <c r="G81"/>
  <c r="M49"/>
  <c r="N49" s="1"/>
  <c r="H18" i="22" l="1"/>
  <c r="H6"/>
  <c r="D12"/>
  <c r="AA23" i="31"/>
  <c r="N8" s="1"/>
  <c r="U23"/>
  <c r="K8" s="1"/>
  <c r="W23"/>
  <c r="L8" s="1"/>
  <c r="Y23"/>
  <c r="M8" s="1"/>
  <c r="U25" i="32"/>
  <c r="J10" s="1"/>
  <c r="W25"/>
  <c r="K10" s="1"/>
  <c r="Y25"/>
  <c r="L10" s="1"/>
  <c r="S25"/>
  <c r="I10" s="1"/>
  <c r="K17" i="16"/>
  <c r="D34"/>
  <c r="V17"/>
  <c r="D17"/>
  <c r="H12" i="22"/>
  <c r="H14"/>
  <c r="L22" i="24"/>
  <c r="F22"/>
  <c r="H22"/>
  <c r="J22"/>
  <c r="F24"/>
  <c r="J9"/>
  <c r="I17" s="1"/>
  <c r="L24" s="1"/>
  <c r="H16"/>
  <c r="J16"/>
  <c r="I16"/>
  <c r="L21"/>
  <c r="O5"/>
  <c r="H21"/>
  <c r="J6"/>
  <c r="F21"/>
  <c r="L36" i="17"/>
  <c r="L33" s="1"/>
  <c r="L46"/>
  <c r="L43"/>
  <c r="F44"/>
  <c r="G92"/>
  <c r="U16" i="32"/>
  <c r="W10" i="31"/>
  <c r="Y17"/>
  <c r="X18"/>
  <c r="W25" s="1"/>
  <c r="L10" s="1"/>
  <c r="X17"/>
  <c r="U10" i="32"/>
  <c r="U17" s="1"/>
  <c r="J23" i="30"/>
  <c r="J22"/>
  <c r="J6"/>
  <c r="J16"/>
  <c r="J26"/>
  <c r="J14"/>
  <c r="J27"/>
  <c r="J25"/>
  <c r="J20"/>
  <c r="J18"/>
  <c r="F23"/>
  <c r="F25"/>
  <c r="F28"/>
  <c r="F19"/>
  <c r="F20"/>
  <c r="F17"/>
  <c r="F15"/>
  <c r="J19"/>
  <c r="J28"/>
  <c r="J15"/>
  <c r="J24"/>
  <c r="J12"/>
  <c r="F24"/>
  <c r="F21"/>
  <c r="F10"/>
  <c r="F22"/>
  <c r="F26"/>
  <c r="F14"/>
  <c r="F18"/>
  <c r="F9"/>
  <c r="F27"/>
  <c r="F16"/>
  <c r="J8"/>
  <c r="J13"/>
  <c r="J21"/>
  <c r="J11"/>
  <c r="J17"/>
  <c r="F65" i="17"/>
  <c r="N33"/>
  <c r="J46"/>
  <c r="H43"/>
  <c r="H36"/>
  <c r="F48"/>
  <c r="F36"/>
  <c r="F33" s="1"/>
  <c r="H77"/>
  <c r="J44"/>
  <c r="N46"/>
  <c r="H72"/>
  <c r="H62" s="1"/>
  <c r="J39"/>
  <c r="H81"/>
  <c r="J36"/>
  <c r="H46"/>
  <c r="J43"/>
  <c r="H79"/>
  <c r="H76"/>
  <c r="F72"/>
  <c r="H44"/>
  <c r="F43"/>
  <c r="H39"/>
  <c r="J49"/>
  <c r="F49"/>
  <c r="F30" i="28"/>
  <c r="H8" i="22"/>
  <c r="H26"/>
  <c r="H22"/>
  <c r="H24"/>
  <c r="H16"/>
  <c r="H10"/>
  <c r="H20"/>
  <c r="D14"/>
  <c r="D16"/>
  <c r="D8"/>
  <c r="D20"/>
  <c r="D18"/>
  <c r="D10"/>
  <c r="D22"/>
  <c r="D26"/>
  <c r="D24"/>
  <c r="AA24" i="31" l="1"/>
  <c r="N9" s="1"/>
  <c r="W24"/>
  <c r="L9" s="1"/>
  <c r="AA25"/>
  <c r="N10" s="1"/>
  <c r="U24"/>
  <c r="K9" s="1"/>
  <c r="U25"/>
  <c r="K10" s="1"/>
  <c r="Y24"/>
  <c r="M9" s="1"/>
  <c r="Y25"/>
  <c r="M10" s="1"/>
  <c r="W23" i="32"/>
  <c r="K8" s="1"/>
  <c r="Y23"/>
  <c r="L8" s="1"/>
  <c r="S23"/>
  <c r="I8" s="1"/>
  <c r="U23"/>
  <c r="J8" s="1"/>
  <c r="J33" i="17"/>
  <c r="H24" i="24"/>
  <c r="F23"/>
  <c r="J23"/>
  <c r="H23"/>
  <c r="L23"/>
  <c r="J24"/>
  <c r="F62" i="17"/>
  <c r="W17" i="32"/>
  <c r="S24" s="1"/>
  <c r="I9" s="1"/>
  <c r="F29" i="30"/>
  <c r="J29"/>
  <c r="H33" i="17"/>
  <c r="U24" i="32" l="1"/>
  <c r="J9" s="1"/>
  <c r="W24"/>
  <c r="K9" s="1"/>
  <c r="Y24"/>
  <c r="L9" s="1"/>
</calcChain>
</file>

<file path=xl/sharedStrings.xml><?xml version="1.0" encoding="utf-8"?>
<sst xmlns="http://schemas.openxmlformats.org/spreadsheetml/2006/main" count="2565" uniqueCount="602">
  <si>
    <t>昭和６０年</t>
    <rPh sb="0" eb="2">
      <t>ショウワ</t>
    </rPh>
    <rPh sb="4" eb="5">
      <t>ネン</t>
    </rPh>
    <phoneticPr fontId="3"/>
  </si>
  <si>
    <t>Ｄ．鉱業</t>
    <rPh sb="2" eb="4">
      <t>コウギョウ</t>
    </rPh>
    <phoneticPr fontId="3"/>
  </si>
  <si>
    <t>Ｅ．建設業</t>
    <rPh sb="2" eb="5">
      <t>ケンセツギョウ</t>
    </rPh>
    <phoneticPr fontId="3"/>
  </si>
  <si>
    <t>Ｆ．製造業</t>
    <rPh sb="2" eb="5">
      <t>セイゾウギョウ</t>
    </rPh>
    <phoneticPr fontId="3"/>
  </si>
  <si>
    <t>Ｋ．電気･ｶﾞｽ･水道業</t>
    <rPh sb="2" eb="4">
      <t>デンキ</t>
    </rPh>
    <rPh sb="9" eb="12">
      <t>スイドウギョウ</t>
    </rPh>
    <phoneticPr fontId="3"/>
  </si>
  <si>
    <t>Ｌ．サービス業</t>
    <rPh sb="6" eb="7">
      <t>ギョウ</t>
    </rPh>
    <phoneticPr fontId="3"/>
  </si>
  <si>
    <t>Ｍ．公務</t>
    <rPh sb="2" eb="4">
      <t>コウム</t>
    </rPh>
    <phoneticPr fontId="3"/>
  </si>
  <si>
    <t>Ｎ．分類不能の産業</t>
    <rPh sb="2" eb="4">
      <t>ブンルイ</t>
    </rPh>
    <rPh sb="4" eb="6">
      <t>フノウ</t>
    </rPh>
    <rPh sb="7" eb="9">
      <t>サンギョウ</t>
    </rPh>
    <phoneticPr fontId="3"/>
  </si>
  <si>
    <t>産 業 大 分 類</t>
    <rPh sb="0" eb="1">
      <t>サン</t>
    </rPh>
    <rPh sb="2" eb="3">
      <t>ギョウ</t>
    </rPh>
    <rPh sb="4" eb="5">
      <t>ダイ</t>
    </rPh>
    <rPh sb="6" eb="7">
      <t>ブン</t>
    </rPh>
    <rPh sb="8" eb="9">
      <t>タグイ</t>
    </rPh>
    <phoneticPr fontId="3"/>
  </si>
  <si>
    <t>事業所数</t>
    <rPh sb="0" eb="3">
      <t>ジギョウショ</t>
    </rPh>
    <rPh sb="3" eb="4">
      <t>スウ</t>
    </rPh>
    <phoneticPr fontId="3"/>
  </si>
  <si>
    <t>昭和６１年</t>
    <rPh sb="0" eb="2">
      <t>ショウワ</t>
    </rPh>
    <rPh sb="4" eb="5">
      <t>ネン</t>
    </rPh>
    <phoneticPr fontId="3"/>
  </si>
  <si>
    <t>従業者規模別事業所数</t>
    <rPh sb="0" eb="3">
      <t>ジュウギョウシャ</t>
    </rPh>
    <rPh sb="3" eb="6">
      <t>キボベツ</t>
    </rPh>
    <rPh sb="6" eb="9">
      <t>ジギョウショ</t>
    </rPh>
    <rPh sb="9" eb="10">
      <t>スウ</t>
    </rPh>
    <phoneticPr fontId="3"/>
  </si>
  <si>
    <t>従業者数</t>
    <rPh sb="0" eb="3">
      <t>ジュウギョウシャ</t>
    </rPh>
    <rPh sb="3" eb="4">
      <t>スウ</t>
    </rPh>
    <phoneticPr fontId="3"/>
  </si>
  <si>
    <t>(人)</t>
    <rPh sb="1" eb="2">
      <t>ニン</t>
    </rPh>
    <phoneticPr fontId="3"/>
  </si>
  <si>
    <t>Ａ．Ｂ．Ｃ．農林水産業</t>
    <rPh sb="6" eb="8">
      <t>ノウリン</t>
    </rPh>
    <rPh sb="8" eb="11">
      <t>スイサンギョウ</t>
    </rPh>
    <phoneticPr fontId="3"/>
  </si>
  <si>
    <t>Ｇ．卸売業・小売業</t>
    <rPh sb="2" eb="3">
      <t>オロシ</t>
    </rPh>
    <rPh sb="3" eb="4">
      <t>ウ</t>
    </rPh>
    <rPh sb="4" eb="5">
      <t>ギョウ</t>
    </rPh>
    <rPh sb="6" eb="8">
      <t>コウ</t>
    </rPh>
    <rPh sb="8" eb="9">
      <t>ギョウ</t>
    </rPh>
    <phoneticPr fontId="3"/>
  </si>
  <si>
    <t>Ｈ．金融・保険業</t>
    <rPh sb="2" eb="4">
      <t>キンユウ</t>
    </rPh>
    <rPh sb="5" eb="8">
      <t>ホケンギョウ</t>
    </rPh>
    <phoneticPr fontId="3"/>
  </si>
  <si>
    <t>Ｉ．不動産業</t>
    <rPh sb="2" eb="6">
      <t>フドウサンギョウ</t>
    </rPh>
    <phoneticPr fontId="3"/>
  </si>
  <si>
    <t>Ｊ．運輸・通信業</t>
    <rPh sb="2" eb="4">
      <t>ウンユ</t>
    </rPh>
    <rPh sb="5" eb="8">
      <t>ツウシンギョウ</t>
    </rPh>
    <phoneticPr fontId="3"/>
  </si>
  <si>
    <t>平　成　３　年</t>
    <rPh sb="0" eb="1">
      <t>ヒラ</t>
    </rPh>
    <rPh sb="2" eb="3">
      <t>シゲル</t>
    </rPh>
    <rPh sb="6" eb="7">
      <t>ネン</t>
    </rPh>
    <phoneticPr fontId="3"/>
  </si>
  <si>
    <t>ﾃﾞﾌﾚｰﾀ補正値</t>
    <rPh sb="6" eb="9">
      <t>ホセイチ</t>
    </rPh>
    <phoneticPr fontId="3"/>
  </si>
  <si>
    <t>昭和６２年</t>
    <rPh sb="0" eb="2">
      <t>ショウワ</t>
    </rPh>
    <rPh sb="4" eb="5">
      <t>ネン</t>
    </rPh>
    <phoneticPr fontId="3"/>
  </si>
  <si>
    <t>合　　　計</t>
    <rPh sb="0" eb="1">
      <t>ゴウ</t>
    </rPh>
    <rPh sb="4" eb="5">
      <t>ケイ</t>
    </rPh>
    <phoneticPr fontId="3"/>
  </si>
  <si>
    <t>18.食料品（製造業）</t>
    <rPh sb="3" eb="6">
      <t>ショクリョウヒン</t>
    </rPh>
    <rPh sb="7" eb="10">
      <t>セイゾウギョウ</t>
    </rPh>
    <phoneticPr fontId="3"/>
  </si>
  <si>
    <t>20.繊維（工業）</t>
    <rPh sb="3" eb="5">
      <t>センイ</t>
    </rPh>
    <rPh sb="6" eb="8">
      <t>コウギョウ</t>
    </rPh>
    <phoneticPr fontId="3"/>
  </si>
  <si>
    <t>21.衣服その他の繊維製品</t>
    <rPh sb="3" eb="5">
      <t>イフク</t>
    </rPh>
    <rPh sb="7" eb="8">
      <t>タ</t>
    </rPh>
    <rPh sb="9" eb="11">
      <t>センイ</t>
    </rPh>
    <rPh sb="11" eb="13">
      <t>セイヒン</t>
    </rPh>
    <phoneticPr fontId="3"/>
  </si>
  <si>
    <t>22.木材･木製品</t>
    <rPh sb="3" eb="5">
      <t>モクザイ</t>
    </rPh>
    <rPh sb="6" eb="7">
      <t>モク</t>
    </rPh>
    <rPh sb="7" eb="9">
      <t>セイヒン</t>
    </rPh>
    <phoneticPr fontId="3"/>
  </si>
  <si>
    <t>23.家具･装飾品</t>
    <rPh sb="3" eb="5">
      <t>カグ</t>
    </rPh>
    <rPh sb="6" eb="9">
      <t>ソウショクヒン</t>
    </rPh>
    <phoneticPr fontId="3"/>
  </si>
  <si>
    <t>24.バルブ･紙･紙加工品</t>
    <rPh sb="7" eb="8">
      <t>カミ</t>
    </rPh>
    <rPh sb="9" eb="10">
      <t>カミ</t>
    </rPh>
    <rPh sb="10" eb="12">
      <t>カコウ</t>
    </rPh>
    <rPh sb="12" eb="13">
      <t>ヒン</t>
    </rPh>
    <phoneticPr fontId="3"/>
  </si>
  <si>
    <t>25.出版･印刷･同関連</t>
    <rPh sb="3" eb="5">
      <t>シュッパン</t>
    </rPh>
    <rPh sb="6" eb="8">
      <t>インサツ</t>
    </rPh>
    <rPh sb="9" eb="10">
      <t>ドウ</t>
    </rPh>
    <rPh sb="10" eb="12">
      <t>カンレン</t>
    </rPh>
    <phoneticPr fontId="3"/>
  </si>
  <si>
    <t>26.化学</t>
    <rPh sb="3" eb="5">
      <t>カガク</t>
    </rPh>
    <phoneticPr fontId="3"/>
  </si>
  <si>
    <t>27.石油製品･石灰製品</t>
    <rPh sb="3" eb="5">
      <t>セキユ</t>
    </rPh>
    <rPh sb="5" eb="7">
      <t>セイヒン</t>
    </rPh>
    <rPh sb="8" eb="10">
      <t>セッカイ</t>
    </rPh>
    <rPh sb="10" eb="12">
      <t>セイヒン</t>
    </rPh>
    <phoneticPr fontId="3"/>
  </si>
  <si>
    <t>28.ゴム製品</t>
    <rPh sb="5" eb="7">
      <t>セイヒン</t>
    </rPh>
    <phoneticPr fontId="3"/>
  </si>
  <si>
    <t>29.なめし皮･同製品･毛皮</t>
    <rPh sb="6" eb="7">
      <t>カワ</t>
    </rPh>
    <rPh sb="8" eb="11">
      <t>ドウセイヒン</t>
    </rPh>
    <rPh sb="12" eb="14">
      <t>ケガワ</t>
    </rPh>
    <phoneticPr fontId="3"/>
  </si>
  <si>
    <t>30.窯業・土石製品</t>
    <rPh sb="4" eb="5">
      <t>ギョウ</t>
    </rPh>
    <rPh sb="6" eb="8">
      <t>ドセキ</t>
    </rPh>
    <rPh sb="8" eb="10">
      <t>セイヒン</t>
    </rPh>
    <phoneticPr fontId="3"/>
  </si>
  <si>
    <t>31.鉄鋼</t>
    <rPh sb="3" eb="5">
      <t>テッコウ</t>
    </rPh>
    <phoneticPr fontId="3"/>
  </si>
  <si>
    <t>32.非鉄金属</t>
    <rPh sb="3" eb="4">
      <t>ヒ</t>
    </rPh>
    <rPh sb="4" eb="5">
      <t>テツ</t>
    </rPh>
    <rPh sb="5" eb="7">
      <t>キンゾク</t>
    </rPh>
    <phoneticPr fontId="3"/>
  </si>
  <si>
    <t>33.金属製品</t>
    <rPh sb="3" eb="5">
      <t>キンゾク</t>
    </rPh>
    <rPh sb="5" eb="7">
      <t>セイヒン</t>
    </rPh>
    <phoneticPr fontId="3"/>
  </si>
  <si>
    <t>34.一般機械器具</t>
    <rPh sb="3" eb="5">
      <t>イッパン</t>
    </rPh>
    <rPh sb="5" eb="7">
      <t>キカイ</t>
    </rPh>
    <rPh sb="7" eb="9">
      <t>キグ</t>
    </rPh>
    <phoneticPr fontId="3"/>
  </si>
  <si>
    <t>35.電気機械器具</t>
    <rPh sb="3" eb="5">
      <t>デンキ</t>
    </rPh>
    <rPh sb="5" eb="7">
      <t>キカイ</t>
    </rPh>
    <rPh sb="7" eb="9">
      <t>キグ</t>
    </rPh>
    <phoneticPr fontId="3"/>
  </si>
  <si>
    <t>36.輸送用機械器具</t>
    <rPh sb="3" eb="6">
      <t>ユソウヨウ</t>
    </rPh>
    <rPh sb="6" eb="8">
      <t>キカイ</t>
    </rPh>
    <rPh sb="8" eb="10">
      <t>キグ</t>
    </rPh>
    <phoneticPr fontId="3"/>
  </si>
  <si>
    <t>37.精密機械器具</t>
    <rPh sb="3" eb="5">
      <t>セイミツ</t>
    </rPh>
    <rPh sb="5" eb="7">
      <t>キカイ</t>
    </rPh>
    <rPh sb="7" eb="9">
      <t>キグ</t>
    </rPh>
    <phoneticPr fontId="3"/>
  </si>
  <si>
    <t>38.武器</t>
    <rPh sb="3" eb="5">
      <t>ブキ</t>
    </rPh>
    <phoneticPr fontId="3"/>
  </si>
  <si>
    <t>39.その他の製造業</t>
    <rPh sb="5" eb="6">
      <t>タ</t>
    </rPh>
    <rPh sb="7" eb="10">
      <t>セイゾウギョウ</t>
    </rPh>
    <phoneticPr fontId="3"/>
  </si>
  <si>
    <t>出 荷 額</t>
    <rPh sb="0" eb="1">
      <t>デ</t>
    </rPh>
    <rPh sb="2" eb="3">
      <t>ニ</t>
    </rPh>
    <rPh sb="4" eb="5">
      <t>ガク</t>
    </rPh>
    <phoneticPr fontId="3"/>
  </si>
  <si>
    <t>産  業  中  分  類</t>
    <rPh sb="0" eb="1">
      <t>サン</t>
    </rPh>
    <rPh sb="3" eb="4">
      <t>ギョウ</t>
    </rPh>
    <rPh sb="6" eb="7">
      <t>チュウ</t>
    </rPh>
    <rPh sb="9" eb="10">
      <t>ブン</t>
    </rPh>
    <rPh sb="12" eb="13">
      <t>タグイ</t>
    </rPh>
    <phoneticPr fontId="3"/>
  </si>
  <si>
    <t>単位:100万円</t>
    <rPh sb="0" eb="2">
      <t>タンイ</t>
    </rPh>
    <rPh sb="6" eb="7">
      <t>マン</t>
    </rPh>
    <rPh sb="7" eb="8">
      <t>エン</t>
    </rPh>
    <phoneticPr fontId="3"/>
  </si>
  <si>
    <t>合　　　　計</t>
    <rPh sb="0" eb="1">
      <t>ゴウ</t>
    </rPh>
    <rPh sb="5" eb="6">
      <t>ケイ</t>
    </rPh>
    <phoneticPr fontId="3"/>
  </si>
  <si>
    <t>昭　和　５６　年</t>
    <rPh sb="0" eb="1">
      <t>アキラ</t>
    </rPh>
    <rPh sb="2" eb="3">
      <t>ワ</t>
    </rPh>
    <rPh sb="7" eb="8">
      <t>ネン</t>
    </rPh>
    <phoneticPr fontId="3"/>
  </si>
  <si>
    <t>昭　和　６１　年</t>
    <rPh sb="0" eb="1">
      <t>アキラ</t>
    </rPh>
    <rPh sb="2" eb="3">
      <t>ワ</t>
    </rPh>
    <rPh sb="7" eb="8">
      <t>ネン</t>
    </rPh>
    <phoneticPr fontId="3"/>
  </si>
  <si>
    <t>平　成　８　年</t>
    <rPh sb="0" eb="1">
      <t>ヒラ</t>
    </rPh>
    <rPh sb="2" eb="3">
      <t>シゲル</t>
    </rPh>
    <rPh sb="6" eb="7">
      <t>ネン</t>
    </rPh>
    <phoneticPr fontId="3"/>
  </si>
  <si>
    <t>1～4</t>
    <phoneticPr fontId="3"/>
  </si>
  <si>
    <t>5～29</t>
    <phoneticPr fontId="3"/>
  </si>
  <si>
    <t>30～</t>
    <phoneticPr fontId="3"/>
  </si>
  <si>
    <t>1～4</t>
    <phoneticPr fontId="3"/>
  </si>
  <si>
    <t>5～9</t>
    <phoneticPr fontId="3"/>
  </si>
  <si>
    <t>10～19</t>
    <phoneticPr fontId="3"/>
  </si>
  <si>
    <t>20～29</t>
    <phoneticPr fontId="3"/>
  </si>
  <si>
    <t>Ｈ．運輸・通信業</t>
    <rPh sb="2" eb="4">
      <t>ウンユ</t>
    </rPh>
    <rPh sb="5" eb="8">
      <t>ツウシンギョウ</t>
    </rPh>
    <phoneticPr fontId="3"/>
  </si>
  <si>
    <t>Ｊ．金融・保険業</t>
    <rPh sb="2" eb="4">
      <t>キンユウ</t>
    </rPh>
    <rPh sb="5" eb="8">
      <t>ホケンギョウ</t>
    </rPh>
    <phoneticPr fontId="3"/>
  </si>
  <si>
    <t>Ｋ．不動産業</t>
    <rPh sb="2" eb="6">
      <t>フドウサンギョウ</t>
    </rPh>
    <phoneticPr fontId="3"/>
  </si>
  <si>
    <t>Ｉ．卸売業・小売業・飲食店</t>
    <rPh sb="2" eb="3">
      <t>オロシ</t>
    </rPh>
    <rPh sb="3" eb="4">
      <t>ウ</t>
    </rPh>
    <rPh sb="4" eb="5">
      <t>ギョウ</t>
    </rPh>
    <rPh sb="6" eb="8">
      <t>コウ</t>
    </rPh>
    <rPh sb="8" eb="9">
      <t>ギョウ</t>
    </rPh>
    <rPh sb="10" eb="13">
      <t>インショクテン</t>
    </rPh>
    <phoneticPr fontId="3"/>
  </si>
  <si>
    <t>昭和５５年</t>
    <rPh sb="0" eb="2">
      <t>ショウワ</t>
    </rPh>
    <rPh sb="4" eb="5">
      <t>ネン</t>
    </rPh>
    <phoneticPr fontId="3"/>
  </si>
  <si>
    <t>昭和６３年</t>
    <rPh sb="0" eb="2">
      <t>ショウワ</t>
    </rPh>
    <rPh sb="4" eb="5">
      <t>ネン</t>
    </rPh>
    <phoneticPr fontId="3"/>
  </si>
  <si>
    <t>平成元年</t>
    <rPh sb="0" eb="2">
      <t>ヘイセイ</t>
    </rPh>
    <rPh sb="2" eb="4">
      <t>ガンネン</t>
    </rPh>
    <phoneticPr fontId="3"/>
  </si>
  <si>
    <t>平成２年</t>
    <rPh sb="0" eb="2">
      <t>ヘイセイ</t>
    </rPh>
    <rPh sb="3" eb="4">
      <t>ネン</t>
    </rPh>
    <phoneticPr fontId="3"/>
  </si>
  <si>
    <t>平成３年</t>
    <rPh sb="0" eb="2">
      <t>ヘイセイ</t>
    </rPh>
    <rPh sb="3" eb="4">
      <t>ネン</t>
    </rPh>
    <phoneticPr fontId="3"/>
  </si>
  <si>
    <t>平成４年</t>
    <rPh sb="0" eb="2">
      <t>ヘイセイ</t>
    </rPh>
    <rPh sb="3" eb="4">
      <t>ネン</t>
    </rPh>
    <phoneticPr fontId="3"/>
  </si>
  <si>
    <t>平成５年</t>
    <rPh sb="0" eb="2">
      <t>ヘイセイ</t>
    </rPh>
    <rPh sb="3" eb="4">
      <t>ネン</t>
    </rPh>
    <phoneticPr fontId="3"/>
  </si>
  <si>
    <t>平成６年</t>
    <rPh sb="0" eb="2">
      <t>ヘイセイ</t>
    </rPh>
    <rPh sb="3" eb="4">
      <t>ネン</t>
    </rPh>
    <phoneticPr fontId="3"/>
  </si>
  <si>
    <t>平成７年</t>
    <rPh sb="0" eb="2">
      <t>ヘイセイ</t>
    </rPh>
    <rPh sb="3" eb="4">
      <t>ネン</t>
    </rPh>
    <phoneticPr fontId="3"/>
  </si>
  <si>
    <t>平成８年</t>
    <rPh sb="0" eb="2">
      <t>ヘイセイ</t>
    </rPh>
    <rPh sb="3" eb="4">
      <t>ネン</t>
    </rPh>
    <phoneticPr fontId="3"/>
  </si>
  <si>
    <t>平成９年</t>
    <rPh sb="0" eb="2">
      <t>ヘイセイ</t>
    </rPh>
    <rPh sb="3" eb="4">
      <t>ネン</t>
    </rPh>
    <phoneticPr fontId="3"/>
  </si>
  <si>
    <t>平成１０年</t>
    <rPh sb="0" eb="2">
      <t>ヘイセイ</t>
    </rPh>
    <rPh sb="4" eb="5">
      <t>ネン</t>
    </rPh>
    <phoneticPr fontId="3"/>
  </si>
  <si>
    <t>平成１１年</t>
    <rPh sb="0" eb="2">
      <t>ヘイセイ</t>
    </rPh>
    <rPh sb="4" eb="5">
      <t>ネン</t>
    </rPh>
    <phoneticPr fontId="3"/>
  </si>
  <si>
    <t>平成１２年</t>
    <rPh sb="0" eb="2">
      <t>ヘイセイ</t>
    </rPh>
    <rPh sb="4" eb="5">
      <t>ネン</t>
    </rPh>
    <phoneticPr fontId="3"/>
  </si>
  <si>
    <t>　　　　　資料：工業統計調査</t>
    <rPh sb="5" eb="7">
      <t>シリョウ</t>
    </rPh>
    <rPh sb="8" eb="10">
      <t>コウギョウ</t>
    </rPh>
    <rPh sb="10" eb="12">
      <t>トウケイ</t>
    </rPh>
    <rPh sb="12" eb="14">
      <t>チョウサ</t>
    </rPh>
    <phoneticPr fontId="3"/>
  </si>
  <si>
    <t>消費者物価指数(全国)</t>
    <rPh sb="0" eb="3">
      <t>ショウヒシャ</t>
    </rPh>
    <rPh sb="3" eb="5">
      <t>ブッカ</t>
    </rPh>
    <rPh sb="5" eb="7">
      <t>シスウ</t>
    </rPh>
    <rPh sb="8" eb="10">
      <t>ゼンコク</t>
    </rPh>
    <phoneticPr fontId="3"/>
  </si>
  <si>
    <t>昭 和 ５７ 年</t>
    <rPh sb="0" eb="1">
      <t>アキラ</t>
    </rPh>
    <rPh sb="2" eb="3">
      <t>ワ</t>
    </rPh>
    <rPh sb="7" eb="8">
      <t>ネン</t>
    </rPh>
    <phoneticPr fontId="3"/>
  </si>
  <si>
    <t>昭 和 ６０ 年</t>
    <rPh sb="0" eb="1">
      <t>アキラ</t>
    </rPh>
    <rPh sb="2" eb="3">
      <t>ワ</t>
    </rPh>
    <rPh sb="7" eb="8">
      <t>ネン</t>
    </rPh>
    <phoneticPr fontId="3"/>
  </si>
  <si>
    <t>昭 和 ６３ 年</t>
    <rPh sb="0" eb="1">
      <t>アキラ</t>
    </rPh>
    <rPh sb="2" eb="3">
      <t>ワ</t>
    </rPh>
    <rPh sb="7" eb="8">
      <t>ネン</t>
    </rPh>
    <phoneticPr fontId="3"/>
  </si>
  <si>
    <t>平 成  ３ 年</t>
    <rPh sb="0" eb="1">
      <t>ヒラ</t>
    </rPh>
    <rPh sb="2" eb="3">
      <t>シゲル</t>
    </rPh>
    <rPh sb="7" eb="8">
      <t>ネン</t>
    </rPh>
    <phoneticPr fontId="3"/>
  </si>
  <si>
    <t>合　　　　　計</t>
    <rPh sb="0" eb="1">
      <t>ゴウ</t>
    </rPh>
    <rPh sb="6" eb="7">
      <t>ケイ</t>
    </rPh>
    <phoneticPr fontId="3"/>
  </si>
  <si>
    <t>小 売 業 小 計</t>
    <rPh sb="0" eb="1">
      <t>ショウ</t>
    </rPh>
    <rPh sb="2" eb="3">
      <t>バイ</t>
    </rPh>
    <rPh sb="4" eb="5">
      <t>ギョウ</t>
    </rPh>
    <rPh sb="6" eb="7">
      <t>ショウ</t>
    </rPh>
    <rPh sb="8" eb="9">
      <t>ケイ</t>
    </rPh>
    <phoneticPr fontId="3"/>
  </si>
  <si>
    <t>平 成  ６ 年</t>
    <rPh sb="0" eb="1">
      <t>ヒラ</t>
    </rPh>
    <rPh sb="2" eb="3">
      <t>シゲル</t>
    </rPh>
    <rPh sb="7" eb="8">
      <t>ネン</t>
    </rPh>
    <phoneticPr fontId="3"/>
  </si>
  <si>
    <t>平 成　９ 年</t>
    <rPh sb="0" eb="1">
      <t>ヒラ</t>
    </rPh>
    <rPh sb="2" eb="3">
      <t>シゲル</t>
    </rPh>
    <rPh sb="6" eb="7">
      <t>ネン</t>
    </rPh>
    <phoneticPr fontId="3"/>
  </si>
  <si>
    <t>平 成 １１ 年</t>
    <rPh sb="0" eb="1">
      <t>ヒラ</t>
    </rPh>
    <rPh sb="2" eb="3">
      <t>シゲル</t>
    </rPh>
    <rPh sb="7" eb="8">
      <t>ネン</t>
    </rPh>
    <phoneticPr fontId="3"/>
  </si>
  <si>
    <t xml:space="preserve"> 40～41.</t>
    <phoneticPr fontId="3"/>
  </si>
  <si>
    <t>卸売業</t>
    <phoneticPr fontId="3"/>
  </si>
  <si>
    <t xml:space="preserve"> 42.</t>
    <phoneticPr fontId="3"/>
  </si>
  <si>
    <t>代理商、仲立業</t>
    <phoneticPr fontId="3"/>
  </si>
  <si>
    <t xml:space="preserve"> 43.</t>
    <phoneticPr fontId="3"/>
  </si>
  <si>
    <t>各種商品小売業</t>
    <phoneticPr fontId="3"/>
  </si>
  <si>
    <t xml:space="preserve"> 44.</t>
    <phoneticPr fontId="3"/>
  </si>
  <si>
    <t>織物･衣服･身の回り品</t>
    <phoneticPr fontId="3"/>
  </si>
  <si>
    <t>小売業</t>
    <phoneticPr fontId="3"/>
  </si>
  <si>
    <t xml:space="preserve"> 45.</t>
    <phoneticPr fontId="3"/>
  </si>
  <si>
    <t>飲食料品小売業</t>
    <phoneticPr fontId="3"/>
  </si>
  <si>
    <t xml:space="preserve"> 46.</t>
    <phoneticPr fontId="3"/>
  </si>
  <si>
    <t>飲食店</t>
    <phoneticPr fontId="3"/>
  </si>
  <si>
    <t>H7</t>
    <phoneticPr fontId="3"/>
  </si>
  <si>
    <t xml:space="preserve"> 47.</t>
    <phoneticPr fontId="3"/>
  </si>
  <si>
    <t>自動車･自転車小売業</t>
    <phoneticPr fontId="3"/>
  </si>
  <si>
    <t xml:space="preserve"> 48.</t>
    <phoneticPr fontId="3"/>
  </si>
  <si>
    <t>家具・建具・じゅう器</t>
    <phoneticPr fontId="3"/>
  </si>
  <si>
    <t>H9</t>
    <phoneticPr fontId="3"/>
  </si>
  <si>
    <t xml:space="preserve"> 49.</t>
    <phoneticPr fontId="3"/>
  </si>
  <si>
    <t>その他の小売業</t>
    <phoneticPr fontId="3"/>
  </si>
  <si>
    <t>H12</t>
    <phoneticPr fontId="3"/>
  </si>
  <si>
    <t>平成１３年</t>
    <rPh sb="0" eb="2">
      <t>ヘイセイ</t>
    </rPh>
    <rPh sb="4" eb="5">
      <t>ネン</t>
    </rPh>
    <phoneticPr fontId="3"/>
  </si>
  <si>
    <t>28.ゴム製品.プラスチック</t>
    <rPh sb="5" eb="7">
      <t>セイヒン</t>
    </rPh>
    <phoneticPr fontId="3"/>
  </si>
  <si>
    <t>従業者規模別事業所数（民営）</t>
    <rPh sb="0" eb="3">
      <t>ジュウギョウシャ</t>
    </rPh>
    <rPh sb="3" eb="6">
      <t>キボベツ</t>
    </rPh>
    <rPh sb="6" eb="9">
      <t>ジギョウショ</t>
    </rPh>
    <rPh sb="9" eb="10">
      <t>スウ</t>
    </rPh>
    <rPh sb="11" eb="13">
      <t>ミンエイ</t>
    </rPh>
    <phoneticPr fontId="3"/>
  </si>
  <si>
    <t>平成１６年</t>
    <rPh sb="0" eb="2">
      <t>ヘイセイ</t>
    </rPh>
    <rPh sb="4" eb="5">
      <t>ネン</t>
    </rPh>
    <phoneticPr fontId="3"/>
  </si>
  <si>
    <t>平成１４年</t>
    <rPh sb="0" eb="2">
      <t>ヘイセイ</t>
    </rPh>
    <rPh sb="4" eb="5">
      <t>ネン</t>
    </rPh>
    <phoneticPr fontId="3"/>
  </si>
  <si>
    <t>平成１５年</t>
    <rPh sb="0" eb="2">
      <t>ヘイセイ</t>
    </rPh>
    <rPh sb="4" eb="5">
      <t>ネン</t>
    </rPh>
    <phoneticPr fontId="3"/>
  </si>
  <si>
    <t>平成１７年</t>
    <rPh sb="0" eb="2">
      <t>ヘイセイ</t>
    </rPh>
    <rPh sb="4" eb="5">
      <t>ネン</t>
    </rPh>
    <phoneticPr fontId="3"/>
  </si>
  <si>
    <t>H14</t>
  </si>
  <si>
    <t>H15</t>
  </si>
  <si>
    <t>H16</t>
  </si>
  <si>
    <t>H17</t>
  </si>
  <si>
    <t>H18</t>
  </si>
  <si>
    <t>H13</t>
  </si>
  <si>
    <t>H19</t>
  </si>
  <si>
    <t>H20</t>
  </si>
  <si>
    <t>平 成 １６ 年</t>
    <rPh sb="0" eb="1">
      <t>ヒラ</t>
    </rPh>
    <rPh sb="2" eb="3">
      <t>シゲル</t>
    </rPh>
    <rPh sb="7" eb="8">
      <t>ネン</t>
    </rPh>
    <phoneticPr fontId="3"/>
  </si>
  <si>
    <t>-</t>
  </si>
  <si>
    <t>平　成　１１　年</t>
    <rPh sb="0" eb="1">
      <t>ヒラ</t>
    </rPh>
    <rPh sb="2" eb="3">
      <t>シゲル</t>
    </rPh>
    <rPh sb="7" eb="8">
      <t>ネン</t>
    </rPh>
    <phoneticPr fontId="3"/>
  </si>
  <si>
    <t>平　成　１６　年</t>
    <rPh sb="0" eb="1">
      <t>ヒラ</t>
    </rPh>
    <rPh sb="2" eb="3">
      <t>シゲル</t>
    </rPh>
    <rPh sb="7" eb="8">
      <t>ネン</t>
    </rPh>
    <phoneticPr fontId="3"/>
  </si>
  <si>
    <t>平成１８年</t>
    <rPh sb="0" eb="2">
      <t>ヘイセイ</t>
    </rPh>
    <rPh sb="4" eb="5">
      <t>ネン</t>
    </rPh>
    <phoneticPr fontId="3"/>
  </si>
  <si>
    <t>1～4</t>
    <phoneticPr fontId="3"/>
  </si>
  <si>
    <t>5～9</t>
    <phoneticPr fontId="3"/>
  </si>
  <si>
    <t>10～19</t>
    <phoneticPr fontId="3"/>
  </si>
  <si>
    <t>20～29</t>
    <phoneticPr fontId="3"/>
  </si>
  <si>
    <t>-</t>
    <phoneticPr fontId="3"/>
  </si>
  <si>
    <t>5～29</t>
    <phoneticPr fontId="3"/>
  </si>
  <si>
    <t>30～</t>
    <phoneticPr fontId="3"/>
  </si>
  <si>
    <t xml:space="preserve">0 </t>
    <phoneticPr fontId="3"/>
  </si>
  <si>
    <t>平成１９年</t>
    <rPh sb="0" eb="2">
      <t>ヘイセイ</t>
    </rPh>
    <rPh sb="4" eb="5">
      <t>ネン</t>
    </rPh>
    <phoneticPr fontId="3"/>
  </si>
  <si>
    <t xml:space="preserve">                 -</t>
  </si>
  <si>
    <t>X</t>
  </si>
  <si>
    <t>-</t>
    <phoneticPr fontId="3"/>
  </si>
  <si>
    <t xml:space="preserve"> -</t>
    <phoneticPr fontId="3"/>
  </si>
  <si>
    <t>09.食料品（製造業）</t>
    <rPh sb="3" eb="6">
      <t>ショクリョウヒン</t>
    </rPh>
    <rPh sb="7" eb="10">
      <t>セイゾウギョウ</t>
    </rPh>
    <phoneticPr fontId="3"/>
  </si>
  <si>
    <t>12.繊維（工業）</t>
    <rPh sb="3" eb="5">
      <t>センイ</t>
    </rPh>
    <rPh sb="6" eb="8">
      <t>コウギョウ</t>
    </rPh>
    <phoneticPr fontId="3"/>
  </si>
  <si>
    <t>14.衣服その他の繊維製品</t>
    <rPh sb="3" eb="5">
      <t>イフク</t>
    </rPh>
    <rPh sb="7" eb="8">
      <t>タ</t>
    </rPh>
    <rPh sb="9" eb="11">
      <t>センイ</t>
    </rPh>
    <rPh sb="11" eb="13">
      <t>セイヒン</t>
    </rPh>
    <phoneticPr fontId="3"/>
  </si>
  <si>
    <t>25.金属製品</t>
  </si>
  <si>
    <t>27.電気機械器具</t>
    <rPh sb="3" eb="5">
      <t>デンキ</t>
    </rPh>
    <rPh sb="5" eb="7">
      <t>キカイ</t>
    </rPh>
    <rPh sb="7" eb="9">
      <t>キグ</t>
    </rPh>
    <phoneticPr fontId="3"/>
  </si>
  <si>
    <t>30.輸送用機械器具</t>
    <rPh sb="3" eb="6">
      <t>ユソウヨウ</t>
    </rPh>
    <rPh sb="6" eb="8">
      <t>キカイ</t>
    </rPh>
    <rPh sb="8" eb="10">
      <t>キグ</t>
    </rPh>
    <phoneticPr fontId="3"/>
  </si>
  <si>
    <t>31.精密機械器具</t>
    <rPh sb="3" eb="5">
      <t>セイミツ</t>
    </rPh>
    <rPh sb="5" eb="7">
      <t>キカイ</t>
    </rPh>
    <rPh sb="7" eb="9">
      <t>キグ</t>
    </rPh>
    <phoneticPr fontId="3"/>
  </si>
  <si>
    <t>32.その他の製造業</t>
    <rPh sb="5" eb="6">
      <t>タ</t>
    </rPh>
    <rPh sb="7" eb="10">
      <t>セイゾウギョウ</t>
    </rPh>
    <phoneticPr fontId="3"/>
  </si>
  <si>
    <t>17.化学</t>
    <phoneticPr fontId="3"/>
  </si>
  <si>
    <t>19.ゴム製品.プラスチック</t>
    <phoneticPr fontId="3"/>
  </si>
  <si>
    <t>22.窯業・土石製品</t>
    <phoneticPr fontId="3"/>
  </si>
  <si>
    <t>24.非鉄金属</t>
    <phoneticPr fontId="3"/>
  </si>
  <si>
    <t>26.一般機械器具</t>
    <phoneticPr fontId="3"/>
  </si>
  <si>
    <t>28.情報</t>
    <rPh sb="3" eb="5">
      <t>ジョウホウ</t>
    </rPh>
    <phoneticPr fontId="3"/>
  </si>
  <si>
    <t>29.電子</t>
    <rPh sb="3" eb="5">
      <t>デンシ</t>
    </rPh>
    <phoneticPr fontId="3"/>
  </si>
  <si>
    <t>12.衣服その他の繊維製品</t>
    <rPh sb="3" eb="5">
      <t>イフク</t>
    </rPh>
    <rPh sb="7" eb="8">
      <t>タ</t>
    </rPh>
    <rPh sb="9" eb="11">
      <t>センイ</t>
    </rPh>
    <rPh sb="11" eb="13">
      <t>セイヒン</t>
    </rPh>
    <phoneticPr fontId="3"/>
  </si>
  <si>
    <t>-</t>
    <phoneticPr fontId="3"/>
  </si>
  <si>
    <t>-</t>
    <phoneticPr fontId="3"/>
  </si>
  <si>
    <t>X</t>
    <phoneticPr fontId="3"/>
  </si>
  <si>
    <t>平 成 １９年</t>
    <rPh sb="0" eb="1">
      <t>ヒラ</t>
    </rPh>
    <rPh sb="2" eb="3">
      <t>シゲル</t>
    </rPh>
    <rPh sb="6" eb="7">
      <t>ネン</t>
    </rPh>
    <phoneticPr fontId="3"/>
  </si>
  <si>
    <t>-</t>
    <phoneticPr fontId="3"/>
  </si>
  <si>
    <t>30～</t>
    <phoneticPr fontId="3"/>
  </si>
  <si>
    <t>国内企業物価指数</t>
    <rPh sb="0" eb="2">
      <t>コクナイ</t>
    </rPh>
    <rPh sb="2" eb="4">
      <t>キギョウ</t>
    </rPh>
    <rPh sb="4" eb="6">
      <t>ブッカ</t>
    </rPh>
    <rPh sb="6" eb="8">
      <t>シスウ</t>
    </rPh>
    <phoneticPr fontId="3"/>
  </si>
  <si>
    <t>昭 和 ５４ 年</t>
    <rPh sb="0" eb="1">
      <t>アキラ</t>
    </rPh>
    <rPh sb="2" eb="3">
      <t>ワ</t>
    </rPh>
    <rPh sb="7" eb="8">
      <t>ネン</t>
    </rPh>
    <phoneticPr fontId="3"/>
  </si>
  <si>
    <t>販 売 額</t>
    <rPh sb="0" eb="1">
      <t>ハン</t>
    </rPh>
    <rPh sb="2" eb="3">
      <t>バイ</t>
    </rPh>
    <rPh sb="4" eb="5">
      <t>ガク</t>
    </rPh>
    <phoneticPr fontId="3"/>
  </si>
  <si>
    <t>資料：商業統計調査</t>
    <rPh sb="0" eb="2">
      <t>シリョウ</t>
    </rPh>
    <rPh sb="3" eb="5">
      <t>ショウギョウ</t>
    </rPh>
    <rPh sb="5" eb="7">
      <t>トウケイ</t>
    </rPh>
    <rPh sb="7" eb="9">
      <t>チョウサ</t>
    </rPh>
    <phoneticPr fontId="3"/>
  </si>
  <si>
    <t>Ｒ．公務</t>
    <rPh sb="2" eb="4">
      <t>コウム</t>
    </rPh>
    <phoneticPr fontId="3"/>
  </si>
  <si>
    <t>資料：事業所・企業統計調査</t>
    <rPh sb="0" eb="2">
      <t>シリョウ</t>
    </rPh>
    <rPh sb="3" eb="6">
      <t>ジギョウショ</t>
    </rPh>
    <rPh sb="7" eb="9">
      <t>キギョウ</t>
    </rPh>
    <rPh sb="9" eb="11">
      <t>トウケイ</t>
    </rPh>
    <rPh sb="11" eb="13">
      <t>チョウサ</t>
    </rPh>
    <phoneticPr fontId="3"/>
  </si>
  <si>
    <t>Ａ．農業</t>
    <rPh sb="2" eb="4">
      <t>ノウギョウ</t>
    </rPh>
    <phoneticPr fontId="3"/>
  </si>
  <si>
    <t>第１次産業合計</t>
    <rPh sb="0" eb="1">
      <t>ダイ</t>
    </rPh>
    <rPh sb="2" eb="3">
      <t>ジ</t>
    </rPh>
    <rPh sb="3" eb="5">
      <t>サンギョウ</t>
    </rPh>
    <rPh sb="5" eb="7">
      <t>ゴウケイ</t>
    </rPh>
    <phoneticPr fontId="3"/>
  </si>
  <si>
    <t>第２次産業合計</t>
    <rPh sb="0" eb="1">
      <t>ダイ</t>
    </rPh>
    <rPh sb="2" eb="3">
      <t>ジ</t>
    </rPh>
    <rPh sb="3" eb="5">
      <t>サンギョウ</t>
    </rPh>
    <rPh sb="5" eb="7">
      <t>ゴウケイ</t>
    </rPh>
    <phoneticPr fontId="3"/>
  </si>
  <si>
    <t>第３次産業合計</t>
    <rPh sb="0" eb="1">
      <t>ダイ</t>
    </rPh>
    <rPh sb="2" eb="3">
      <t>ジ</t>
    </rPh>
    <rPh sb="3" eb="5">
      <t>サンギョウ</t>
    </rPh>
    <rPh sb="5" eb="7">
      <t>ゴウケイ</t>
    </rPh>
    <phoneticPr fontId="3"/>
  </si>
  <si>
    <t>就業者数</t>
    <rPh sb="0" eb="3">
      <t>シュウギョウシャ</t>
    </rPh>
    <rPh sb="3" eb="4">
      <t>スウ</t>
    </rPh>
    <phoneticPr fontId="3"/>
  </si>
  <si>
    <t>構成比</t>
    <rPh sb="0" eb="3">
      <t>コウセイヒ</t>
    </rPh>
    <phoneticPr fontId="3"/>
  </si>
  <si>
    <t>平成12年</t>
    <rPh sb="0" eb="2">
      <t>ヘイセイ</t>
    </rPh>
    <rPh sb="4" eb="5">
      <t>ネン</t>
    </rPh>
    <phoneticPr fontId="3"/>
  </si>
  <si>
    <t>平成17年</t>
    <rPh sb="0" eb="2">
      <t>ヘイセイ</t>
    </rPh>
    <rPh sb="4" eb="5">
      <t>ネン</t>
    </rPh>
    <phoneticPr fontId="3"/>
  </si>
  <si>
    <t>平成22年</t>
    <rPh sb="0" eb="2">
      <t>ヘイセイ</t>
    </rPh>
    <rPh sb="4" eb="5">
      <t>ネン</t>
    </rPh>
    <phoneticPr fontId="3"/>
  </si>
  <si>
    <t xml:space="preserve">人 </t>
    <rPh sb="0" eb="1">
      <t>ニン</t>
    </rPh>
    <phoneticPr fontId="3"/>
  </si>
  <si>
    <t xml:space="preserve">％ </t>
    <phoneticPr fontId="3"/>
  </si>
  <si>
    <t>Ｈ．情報通信業</t>
    <phoneticPr fontId="3"/>
  </si>
  <si>
    <t>Ｉ．運輸業</t>
    <rPh sb="2" eb="5">
      <t>ウンユギョウ</t>
    </rPh>
    <phoneticPr fontId="3"/>
  </si>
  <si>
    <t>Ｊ．卸売・小売業</t>
    <phoneticPr fontId="3"/>
  </si>
  <si>
    <t>Ｋ．金融・保険業</t>
    <phoneticPr fontId="3"/>
  </si>
  <si>
    <t>Ｌ．不動産業</t>
    <phoneticPr fontId="3"/>
  </si>
  <si>
    <t>Ｍ．飲食店、宿泊業</t>
    <phoneticPr fontId="3"/>
  </si>
  <si>
    <t>Ｎ．医療、福祉</t>
    <phoneticPr fontId="3"/>
  </si>
  <si>
    <t>Ｏ．教育、学習支援業</t>
    <phoneticPr fontId="3"/>
  </si>
  <si>
    <t>Ｐ．複合サービス事業</t>
    <phoneticPr fontId="3"/>
  </si>
  <si>
    <t>Ｑ．サービス業</t>
    <phoneticPr fontId="3"/>
  </si>
  <si>
    <t>Ｓ．分類不能の産業</t>
    <phoneticPr fontId="3"/>
  </si>
  <si>
    <t>合　　  計</t>
    <rPh sb="0" eb="1">
      <t>ゴウ</t>
    </rPh>
    <rPh sb="5" eb="6">
      <t>ケイ</t>
    </rPh>
    <phoneticPr fontId="3"/>
  </si>
  <si>
    <t>資料：国勢調査</t>
    <rPh sb="0" eb="2">
      <t>シリョウ</t>
    </rPh>
    <rPh sb="3" eb="5">
      <t>コクセイ</t>
    </rPh>
    <rPh sb="5" eb="7">
      <t>チョウサ</t>
    </rPh>
    <phoneticPr fontId="3"/>
  </si>
  <si>
    <t>単位：人</t>
    <rPh sb="0" eb="2">
      <t>タンイ</t>
    </rPh>
    <rPh sb="3" eb="4">
      <t>ニン</t>
    </rPh>
    <phoneticPr fontId="3"/>
  </si>
  <si>
    <t>平成27年</t>
    <rPh sb="0" eb="2">
      <t>ヘイセイ</t>
    </rPh>
    <rPh sb="4" eb="5">
      <t>ネン</t>
    </rPh>
    <phoneticPr fontId="3"/>
  </si>
  <si>
    <t>第一次産業人口</t>
    <rPh sb="0" eb="3">
      <t>ダイイチジ</t>
    </rPh>
    <rPh sb="3" eb="5">
      <t>サンギョウ</t>
    </rPh>
    <rPh sb="5" eb="7">
      <t>ジンコウ</t>
    </rPh>
    <phoneticPr fontId="3"/>
  </si>
  <si>
    <t xml:space="preserve">  実　績　値</t>
    <rPh sb="2" eb="3">
      <t>ミ</t>
    </rPh>
    <rPh sb="4" eb="5">
      <t>イサオ</t>
    </rPh>
    <rPh sb="6" eb="7">
      <t>アタイ</t>
    </rPh>
    <phoneticPr fontId="3"/>
  </si>
  <si>
    <t xml:space="preserve">  推  計  値</t>
    <rPh sb="2" eb="3">
      <t>スイ</t>
    </rPh>
    <rPh sb="5" eb="6">
      <t>ケイ</t>
    </rPh>
    <rPh sb="8" eb="9">
      <t>アタイ</t>
    </rPh>
    <phoneticPr fontId="3"/>
  </si>
  <si>
    <t>等　差　式</t>
    <rPh sb="0" eb="1">
      <t>トウ</t>
    </rPh>
    <rPh sb="2" eb="3">
      <t>サ</t>
    </rPh>
    <rPh sb="4" eb="5">
      <t>シキ</t>
    </rPh>
    <phoneticPr fontId="3"/>
  </si>
  <si>
    <t>等　比　式</t>
    <rPh sb="0" eb="1">
      <t>トウ</t>
    </rPh>
    <rPh sb="2" eb="3">
      <t>ヒ</t>
    </rPh>
    <rPh sb="4" eb="5">
      <t>シキ</t>
    </rPh>
    <phoneticPr fontId="3"/>
  </si>
  <si>
    <t>１　次　式</t>
    <rPh sb="2" eb="3">
      <t>ツギ</t>
    </rPh>
    <rPh sb="4" eb="5">
      <t>シキ</t>
    </rPh>
    <phoneticPr fontId="3"/>
  </si>
  <si>
    <t>２　次　式</t>
    <rPh sb="2" eb="3">
      <t>ツギ</t>
    </rPh>
    <rPh sb="4" eb="5">
      <t>シキ</t>
    </rPh>
    <phoneticPr fontId="3"/>
  </si>
  <si>
    <t>平成２２年</t>
    <rPh sb="0" eb="2">
      <t>ヘイセイ</t>
    </rPh>
    <rPh sb="4" eb="5">
      <t>ネン</t>
    </rPh>
    <phoneticPr fontId="3"/>
  </si>
  <si>
    <t>第二次産業人口</t>
    <rPh sb="0" eb="1">
      <t>ダイ</t>
    </rPh>
    <rPh sb="1" eb="3">
      <t>ニジ</t>
    </rPh>
    <rPh sb="3" eb="5">
      <t>サンギョウ</t>
    </rPh>
    <rPh sb="5" eb="7">
      <t>ジンコウ</t>
    </rPh>
    <phoneticPr fontId="3"/>
  </si>
  <si>
    <t>第三次産業人口</t>
    <rPh sb="0" eb="1">
      <t>ダイ</t>
    </rPh>
    <rPh sb="1" eb="2">
      <t>サン</t>
    </rPh>
    <rPh sb="2" eb="3">
      <t>ジ</t>
    </rPh>
    <rPh sb="3" eb="5">
      <t>サンギョウ</t>
    </rPh>
    <rPh sb="5" eb="7">
      <t>ジンコウ</t>
    </rPh>
    <phoneticPr fontId="3"/>
  </si>
  <si>
    <t>資料：国勢調査</t>
    <rPh sb="0" eb="2">
      <t>シリョウ</t>
    </rPh>
    <rPh sb="3" eb="4">
      <t>コク</t>
    </rPh>
    <rPh sb="4" eb="5">
      <t>セイ</t>
    </rPh>
    <rPh sb="5" eb="7">
      <t>チョウサ</t>
    </rPh>
    <phoneticPr fontId="3"/>
  </si>
  <si>
    <t>平成１７年　</t>
    <phoneticPr fontId="3"/>
  </si>
  <si>
    <t>職 業 大 分 類</t>
    <rPh sb="0" eb="1">
      <t>ショク</t>
    </rPh>
    <rPh sb="2" eb="3">
      <t>ギョウ</t>
    </rPh>
    <rPh sb="4" eb="5">
      <t>ダイ</t>
    </rPh>
    <rPh sb="6" eb="7">
      <t>ブン</t>
    </rPh>
    <rPh sb="8" eb="9">
      <t>タグイ</t>
    </rPh>
    <phoneticPr fontId="3"/>
  </si>
  <si>
    <t>　 技術的職業従事者</t>
    <rPh sb="2" eb="5">
      <t>ギジュツテキ</t>
    </rPh>
    <phoneticPr fontId="3"/>
  </si>
  <si>
    <t>Ｂ 管理的職業従事者</t>
    <phoneticPr fontId="3"/>
  </si>
  <si>
    <t>Ｃ 事務従事者</t>
    <phoneticPr fontId="3"/>
  </si>
  <si>
    <t>Ｄ 販売従事者</t>
    <phoneticPr fontId="3"/>
  </si>
  <si>
    <t>Ｅ サービス職業</t>
    <phoneticPr fontId="3"/>
  </si>
  <si>
    <t>　 従事者</t>
    <phoneticPr fontId="3"/>
  </si>
  <si>
    <t>Ｆ 保安職業従事者</t>
    <phoneticPr fontId="3"/>
  </si>
  <si>
    <t>Ｇ 農林漁業作業者</t>
    <phoneticPr fontId="3"/>
  </si>
  <si>
    <t>Ｈ 運輸・通信従事者</t>
    <phoneticPr fontId="3"/>
  </si>
  <si>
    <t>Ｊ 分類不能の職業</t>
    <phoneticPr fontId="3"/>
  </si>
  <si>
    <t>Ｂ．漁業</t>
  </si>
  <si>
    <t>Ｄ．建設業</t>
  </si>
  <si>
    <t>Ｅ．製造業</t>
  </si>
  <si>
    <t>Ｆ．電気・ガス・熱供給・水道業</t>
  </si>
  <si>
    <t>Ｇ．情報通信業</t>
  </si>
  <si>
    <t>Ｑ．複合サービス事業</t>
  </si>
  <si>
    <t>Ｒ．サービス業（他に分類されないもの）</t>
  </si>
  <si>
    <t>Ｓ．公務（他に分類されるものを除く）</t>
  </si>
  <si>
    <t>Ｔ．分類不能の産業</t>
  </si>
  <si>
    <t>Ｃ．鉱業、採石業、砂利採取業</t>
  </si>
  <si>
    <t>Ｈ．運輸業、郵便業</t>
  </si>
  <si>
    <t>Ｉ．卸売業、小売業</t>
  </si>
  <si>
    <t>Ｊ．金融業、保険業</t>
  </si>
  <si>
    <t>Ｋ．不動産業、物品賃貸業</t>
  </si>
  <si>
    <t>Ｌ．学術研究、専門・技術サービス業</t>
  </si>
  <si>
    <t>Ｍ．宿泊業、飲食サービス業</t>
  </si>
  <si>
    <t>Ｎ．生活関連サービス業、娯楽業</t>
  </si>
  <si>
    <t>Ｏ．教育、学習支援業</t>
  </si>
  <si>
    <t>Ｐ．医療、福祉</t>
  </si>
  <si>
    <t>Ａ．農業、林業</t>
  </si>
  <si>
    <t>将来就業人口</t>
    <rPh sb="0" eb="2">
      <t>ショウライ</t>
    </rPh>
    <rPh sb="2" eb="4">
      <t>シュウギョウ</t>
    </rPh>
    <rPh sb="4" eb="6">
      <t>ジンコウ</t>
    </rPh>
    <phoneticPr fontId="3"/>
  </si>
  <si>
    <t>（人）</t>
    <rPh sb="1" eb="2">
      <t>ヒト</t>
    </rPh>
    <phoneticPr fontId="12"/>
  </si>
  <si>
    <t>年</t>
    <rPh sb="0" eb="1">
      <t>ネン</t>
    </rPh>
    <phoneticPr fontId="12"/>
  </si>
  <si>
    <t>x</t>
    <phoneticPr fontId="12"/>
  </si>
  <si>
    <t>y</t>
    <phoneticPr fontId="12"/>
  </si>
  <si>
    <t>xy</t>
    <phoneticPr fontId="12"/>
  </si>
  <si>
    <t>x^2</t>
    <phoneticPr fontId="12"/>
  </si>
  <si>
    <t>x^2*y</t>
    <phoneticPr fontId="12"/>
  </si>
  <si>
    <t>x^4</t>
    <phoneticPr fontId="12"/>
  </si>
  <si>
    <t>logy</t>
    <phoneticPr fontId="12"/>
  </si>
  <si>
    <t>xlogy</t>
    <phoneticPr fontId="12"/>
  </si>
  <si>
    <t>n</t>
    <phoneticPr fontId="12"/>
  </si>
  <si>
    <t>x=logn</t>
    <phoneticPr fontId="12"/>
  </si>
  <si>
    <t>Pn</t>
    <phoneticPr fontId="12"/>
  </si>
  <si>
    <t>Pn-Po</t>
    <phoneticPr fontId="12"/>
  </si>
  <si>
    <t>H17</t>
    <phoneticPr fontId="3"/>
  </si>
  <si>
    <t>H22</t>
    <phoneticPr fontId="3"/>
  </si>
  <si>
    <t>合計</t>
    <rPh sb="0" eb="2">
      <t>ゴウケイ</t>
    </rPh>
    <phoneticPr fontId="12"/>
  </si>
  <si>
    <t>単純延長法による人口推計</t>
    <rPh sb="0" eb="2">
      <t>タンジュン</t>
    </rPh>
    <rPh sb="2" eb="5">
      <t>エンチョウホウ</t>
    </rPh>
    <rPh sb="8" eb="10">
      <t>ジンコウ</t>
    </rPh>
    <rPh sb="10" eb="12">
      <t>スイケイ</t>
    </rPh>
    <phoneticPr fontId="12"/>
  </si>
  <si>
    <t>各係数の算出</t>
    <rPh sb="0" eb="3">
      <t>カクケイスウ</t>
    </rPh>
    <rPh sb="4" eb="5">
      <t>サン</t>
    </rPh>
    <rPh sb="5" eb="6">
      <t>デ</t>
    </rPh>
    <phoneticPr fontId="12"/>
  </si>
  <si>
    <t>方法</t>
    <rPh sb="0" eb="2">
      <t>ホウホウ</t>
    </rPh>
    <phoneticPr fontId="12"/>
  </si>
  <si>
    <t>式</t>
    <rPh sb="0" eb="1">
      <t>シキ</t>
    </rPh>
    <phoneticPr fontId="12"/>
  </si>
  <si>
    <t>r又はＰｎ</t>
    <rPh sb="1" eb="2">
      <t>マタ</t>
    </rPh>
    <phoneticPr fontId="12"/>
  </si>
  <si>
    <t>a</t>
    <phoneticPr fontId="12"/>
  </si>
  <si>
    <t>b又はＸ</t>
    <rPh sb="1" eb="2">
      <t>マタ</t>
    </rPh>
    <phoneticPr fontId="12"/>
  </si>
  <si>
    <t>c又はＡ</t>
    <rPh sb="1" eb="2">
      <t>マタ</t>
    </rPh>
    <phoneticPr fontId="12"/>
  </si>
  <si>
    <t>実績期間</t>
    <rPh sb="0" eb="2">
      <t>ジッセキ</t>
    </rPh>
    <rPh sb="2" eb="4">
      <t>キカン</t>
    </rPh>
    <phoneticPr fontId="12"/>
  </si>
  <si>
    <t>等差式</t>
    <rPh sb="0" eb="2">
      <t>トウサ</t>
    </rPh>
    <rPh sb="2" eb="3">
      <t>シキ</t>
    </rPh>
    <phoneticPr fontId="12"/>
  </si>
  <si>
    <t>(イ）</t>
    <phoneticPr fontId="12"/>
  </si>
  <si>
    <t>等比式</t>
    <rPh sb="0" eb="2">
      <t>トウヒ</t>
    </rPh>
    <rPh sb="2" eb="3">
      <t>シキ</t>
    </rPh>
    <phoneticPr fontId="12"/>
  </si>
  <si>
    <t>(ロ）</t>
    <phoneticPr fontId="12"/>
  </si>
  <si>
    <t>1次式</t>
    <rPh sb="0" eb="3">
      <t>１ジシキ</t>
    </rPh>
    <phoneticPr fontId="12"/>
  </si>
  <si>
    <t>(ハ）</t>
    <phoneticPr fontId="12"/>
  </si>
  <si>
    <t>2次式</t>
    <rPh sb="0" eb="3">
      <t>２ジシキ</t>
    </rPh>
    <phoneticPr fontId="12"/>
  </si>
  <si>
    <t>(ニ）</t>
    <phoneticPr fontId="12"/>
  </si>
  <si>
    <t>指数式</t>
    <rPh sb="0" eb="2">
      <t>シスウ</t>
    </rPh>
    <rPh sb="2" eb="3">
      <t>シキ</t>
    </rPh>
    <phoneticPr fontId="12"/>
  </si>
  <si>
    <t>(ホ）</t>
    <phoneticPr fontId="12"/>
  </si>
  <si>
    <t>推計計算式</t>
    <rPh sb="0" eb="2">
      <t>スイケイ</t>
    </rPh>
    <rPh sb="2" eb="4">
      <t>ケイサン</t>
    </rPh>
    <rPh sb="4" eb="5">
      <t>シキ</t>
    </rPh>
    <phoneticPr fontId="12"/>
  </si>
  <si>
    <t>Y=Po+r*ｎ</t>
    <phoneticPr fontId="12"/>
  </si>
  <si>
    <r>
      <t>Y=Po(1+r)</t>
    </r>
    <r>
      <rPr>
        <vertAlign val="superscript"/>
        <sz val="9"/>
        <rFont val="ＭＳ 明朝"/>
        <family val="1"/>
        <charset val="128"/>
      </rPr>
      <t>ｎ</t>
    </r>
    <phoneticPr fontId="12"/>
  </si>
  <si>
    <t>１次式</t>
    <rPh sb="1" eb="2">
      <t>ジ</t>
    </rPh>
    <rPh sb="2" eb="3">
      <t>シキ</t>
    </rPh>
    <phoneticPr fontId="12"/>
  </si>
  <si>
    <t>Y=a*x+b</t>
    <phoneticPr fontId="12"/>
  </si>
  <si>
    <t>２次式</t>
    <rPh sb="1" eb="2">
      <t>ジ</t>
    </rPh>
    <rPh sb="2" eb="3">
      <t>シキ</t>
    </rPh>
    <phoneticPr fontId="12"/>
  </si>
  <si>
    <r>
      <t>Y=a*x</t>
    </r>
    <r>
      <rPr>
        <vertAlign val="superscript"/>
        <sz val="9"/>
        <rFont val="ＭＳ 明朝"/>
        <family val="1"/>
        <charset val="128"/>
      </rPr>
      <t>2</t>
    </r>
    <r>
      <rPr>
        <sz val="9"/>
        <rFont val="ＭＳ 明朝"/>
        <family val="1"/>
        <charset val="128"/>
      </rPr>
      <t>+b*x+c</t>
    </r>
    <phoneticPr fontId="12"/>
  </si>
  <si>
    <r>
      <t>Y=a*b</t>
    </r>
    <r>
      <rPr>
        <vertAlign val="superscript"/>
        <sz val="9"/>
        <rFont val="ＭＳ 明朝"/>
        <family val="1"/>
        <charset val="128"/>
      </rPr>
      <t>x</t>
    </r>
    <phoneticPr fontId="12"/>
  </si>
  <si>
    <t>指　数　式</t>
    <rPh sb="0" eb="1">
      <t>ユビ</t>
    </rPh>
    <rPh sb="2" eb="3">
      <t>スウ</t>
    </rPh>
    <rPh sb="4" eb="5">
      <t>シキ</t>
    </rPh>
    <phoneticPr fontId="3"/>
  </si>
  <si>
    <t>行政区域の第一次産業人口推計</t>
    <rPh sb="0" eb="2">
      <t>ギョウセイ</t>
    </rPh>
    <rPh sb="2" eb="4">
      <t>クイキ</t>
    </rPh>
    <rPh sb="5" eb="6">
      <t>ダイ</t>
    </rPh>
    <rPh sb="6" eb="8">
      <t>イチジ</t>
    </rPh>
    <rPh sb="8" eb="10">
      <t>サンギョウ</t>
    </rPh>
    <rPh sb="10" eb="12">
      <t>ジンコウ</t>
    </rPh>
    <rPh sb="12" eb="14">
      <t>スイケイ</t>
    </rPh>
    <phoneticPr fontId="12"/>
  </si>
  <si>
    <t>行政区域の第二次産業人口推計</t>
    <rPh sb="0" eb="2">
      <t>ギョウセイ</t>
    </rPh>
    <rPh sb="2" eb="4">
      <t>クイキ</t>
    </rPh>
    <rPh sb="5" eb="6">
      <t>ダイ</t>
    </rPh>
    <rPh sb="6" eb="8">
      <t>ニジ</t>
    </rPh>
    <rPh sb="8" eb="10">
      <t>サンギョウ</t>
    </rPh>
    <rPh sb="10" eb="12">
      <t>ジンコウ</t>
    </rPh>
    <rPh sb="12" eb="14">
      <t>スイケイ</t>
    </rPh>
    <phoneticPr fontId="12"/>
  </si>
  <si>
    <t>平成２２年　</t>
    <phoneticPr fontId="3"/>
  </si>
  <si>
    <t>Ａ 管理的職業従事者</t>
    <phoneticPr fontId="3"/>
  </si>
  <si>
    <t>Ｂ 専門的・</t>
    <phoneticPr fontId="3"/>
  </si>
  <si>
    <t>Ｉ 輸送・機械運転</t>
    <phoneticPr fontId="3"/>
  </si>
  <si>
    <t>Ｋ 運搬・清掃・</t>
    <phoneticPr fontId="3"/>
  </si>
  <si>
    <t>Ｇ 農林漁業従事者</t>
    <phoneticPr fontId="3"/>
  </si>
  <si>
    <t>Ｈ 生産工程従事者</t>
    <phoneticPr fontId="3"/>
  </si>
  <si>
    <t>Ｊ 建設・採掘従事者</t>
    <phoneticPr fontId="3"/>
  </si>
  <si>
    <t>　 包装等従事者</t>
    <phoneticPr fontId="3"/>
  </si>
  <si>
    <t>Ｌ 分類不能の職業</t>
    <phoneticPr fontId="3"/>
  </si>
  <si>
    <t>公務・
地方公共団体</t>
    <rPh sb="0" eb="2">
      <t>コウム</t>
    </rPh>
    <rPh sb="4" eb="6">
      <t>チホウ</t>
    </rPh>
    <rPh sb="6" eb="8">
      <t>コウキョウ</t>
    </rPh>
    <rPh sb="8" eb="10">
      <t>ダンタイ</t>
    </rPh>
    <phoneticPr fontId="3"/>
  </si>
  <si>
    <t>売上金額</t>
    <rPh sb="0" eb="2">
      <t>ウリアゲ</t>
    </rPh>
    <rPh sb="2" eb="4">
      <t>キンガク</t>
    </rPh>
    <phoneticPr fontId="3"/>
  </si>
  <si>
    <t>平　成　１３　年</t>
    <rPh sb="0" eb="1">
      <t>ヒラ</t>
    </rPh>
    <rPh sb="2" eb="3">
      <t>シゲル</t>
    </rPh>
    <rPh sb="7" eb="8">
      <t>ネン</t>
    </rPh>
    <phoneticPr fontId="3"/>
  </si>
  <si>
    <t>平成２１年</t>
    <rPh sb="0" eb="2">
      <t>ヘイセイ</t>
    </rPh>
    <rPh sb="4" eb="5">
      <t>ネン</t>
    </rPh>
    <phoneticPr fontId="3"/>
  </si>
  <si>
    <t>平成２４年</t>
    <rPh sb="0" eb="2">
      <t>ヘイセイ</t>
    </rPh>
    <rPh sb="4" eb="5">
      <t>ネン</t>
    </rPh>
    <phoneticPr fontId="3"/>
  </si>
  <si>
    <t>資料：経済センサス-基礎調査</t>
    <rPh sb="0" eb="2">
      <t>シリョウ</t>
    </rPh>
    <rPh sb="3" eb="5">
      <t>ケイザイ</t>
    </rPh>
    <rPh sb="10" eb="12">
      <t>キソ</t>
    </rPh>
    <rPh sb="12" eb="14">
      <t>チョウサ</t>
    </rPh>
    <phoneticPr fontId="3"/>
  </si>
  <si>
    <t>資料：経済センサス-活動調査</t>
    <rPh sb="0" eb="2">
      <t>シリョウ</t>
    </rPh>
    <rPh sb="3" eb="5">
      <t>ケイザイ</t>
    </rPh>
    <rPh sb="10" eb="12">
      <t>カツドウ</t>
    </rPh>
    <rPh sb="12" eb="14">
      <t>チョウサ</t>
    </rPh>
    <phoneticPr fontId="3"/>
  </si>
  <si>
    <t>Ａ．Ｂ．農林漁業</t>
    <phoneticPr fontId="3"/>
  </si>
  <si>
    <t>Ｃ．鉱業，採石業，砂利採取業</t>
    <phoneticPr fontId="3"/>
  </si>
  <si>
    <t>Ｄ．建設業</t>
    <phoneticPr fontId="3"/>
  </si>
  <si>
    <t>Ｅ．製造業</t>
    <phoneticPr fontId="3"/>
  </si>
  <si>
    <t>Ｆ．電気・ガス・熱供給・水道業</t>
    <phoneticPr fontId="3"/>
  </si>
  <si>
    <t>Ｇ．情報通信業</t>
    <phoneticPr fontId="3"/>
  </si>
  <si>
    <t>Ｈ．運輸業，郵便業</t>
    <phoneticPr fontId="3"/>
  </si>
  <si>
    <t>Ｉ．卸売業，小売業</t>
    <phoneticPr fontId="3"/>
  </si>
  <si>
    <t>Ｊ．金融業，保険業</t>
    <phoneticPr fontId="3"/>
  </si>
  <si>
    <t>Ｋ．不動産業，物品賃貸業</t>
    <phoneticPr fontId="3"/>
  </si>
  <si>
    <t>Ｌ．学術研究，専門・技術サービス業</t>
    <phoneticPr fontId="3"/>
  </si>
  <si>
    <t>Ｍ．宿泊業，飲食サービス業</t>
    <phoneticPr fontId="3"/>
  </si>
  <si>
    <t>Ｎ．生活関連サービス業，娯楽業</t>
    <phoneticPr fontId="3"/>
  </si>
  <si>
    <t>Ｏ．教育，学習支援業</t>
    <phoneticPr fontId="3"/>
  </si>
  <si>
    <t>Ｐ．医療，福祉</t>
    <phoneticPr fontId="3"/>
  </si>
  <si>
    <t>Ｑ．複合サービス事業</t>
    <phoneticPr fontId="3"/>
  </si>
  <si>
    <t>Ｒ．サービス業（他に分類されないもの）</t>
    <phoneticPr fontId="3"/>
  </si>
  <si>
    <t>Ｓ．公務（他に分類されるものを除く）</t>
    <rPh sb="2" eb="4">
      <t>コウム</t>
    </rPh>
    <phoneticPr fontId="3"/>
  </si>
  <si>
    <t>（百万円）</t>
    <rPh sb="1" eb="3">
      <t>ヒャクマン</t>
    </rPh>
    <rPh sb="3" eb="4">
      <t>エン</t>
    </rPh>
    <phoneticPr fontId="3"/>
  </si>
  <si>
    <t>…</t>
    <phoneticPr fontId="3"/>
  </si>
  <si>
    <t>Ｇ．電気・ガス・熱供給・水道業</t>
    <rPh sb="2" eb="4">
      <t>デンキ</t>
    </rPh>
    <rPh sb="8" eb="11">
      <t>ネツキョウキュウ</t>
    </rPh>
    <rPh sb="12" eb="15">
      <t>スイドウギョウ</t>
    </rPh>
    <phoneticPr fontId="3"/>
  </si>
  <si>
    <t>Ｋ．電気・ガス・水道業</t>
    <rPh sb="2" eb="4">
      <t>デンキ</t>
    </rPh>
    <rPh sb="8" eb="11">
      <t>スイドウギョウ</t>
    </rPh>
    <phoneticPr fontId="3"/>
  </si>
  <si>
    <t>-</t>
    <phoneticPr fontId="3"/>
  </si>
  <si>
    <t>平成２０年</t>
    <rPh sb="0" eb="2">
      <t>ヘイセイ</t>
    </rPh>
    <rPh sb="4" eb="5">
      <t>ネン</t>
    </rPh>
    <phoneticPr fontId="3"/>
  </si>
  <si>
    <t xml:space="preserve">           -</t>
    <phoneticPr fontId="3"/>
  </si>
  <si>
    <t xml:space="preserve">     -</t>
    <phoneticPr fontId="3"/>
  </si>
  <si>
    <t xml:space="preserve">       -</t>
    <phoneticPr fontId="3"/>
  </si>
  <si>
    <t xml:space="preserve">          -</t>
    <phoneticPr fontId="3"/>
  </si>
  <si>
    <t>平成２３年</t>
    <rPh sb="0" eb="2">
      <t>ヘイセイ</t>
    </rPh>
    <rPh sb="4" eb="5">
      <t>ネン</t>
    </rPh>
    <phoneticPr fontId="3"/>
  </si>
  <si>
    <t>H21</t>
  </si>
  <si>
    <t>H22</t>
  </si>
  <si>
    <t>H23</t>
  </si>
  <si>
    <t>H24</t>
  </si>
  <si>
    <t>09.食料品製造業</t>
  </si>
  <si>
    <t>13.家具・装備品製造業</t>
  </si>
  <si>
    <t>14.パルプ・紙・紙加工品製造業</t>
  </si>
  <si>
    <t>18.プラスチック製品製造業（別掲を除く）</t>
  </si>
  <si>
    <t>20.なめし革・同製品・毛皮製造業</t>
  </si>
  <si>
    <t>21.窯業・土石製品製造業</t>
  </si>
  <si>
    <t>23.非鉄金属製造業</t>
  </si>
  <si>
    <t>24.金属製品製造業</t>
  </si>
  <si>
    <t>25.はん用機械器具製造業</t>
  </si>
  <si>
    <t>26.生産用機械器具製造業</t>
  </si>
  <si>
    <t>27.業務用機械器具製造業</t>
  </si>
  <si>
    <t>29.電気機械器具製造業</t>
  </si>
  <si>
    <t>30.情報通信機械器具製造業</t>
  </si>
  <si>
    <t>32.その他の製造業</t>
  </si>
  <si>
    <t>行政区域の第三次産業人口推計</t>
    <rPh sb="0" eb="2">
      <t>ギョウセイ</t>
    </rPh>
    <rPh sb="2" eb="4">
      <t>クイキ</t>
    </rPh>
    <rPh sb="5" eb="6">
      <t>ダイ</t>
    </rPh>
    <rPh sb="6" eb="7">
      <t>サン</t>
    </rPh>
    <rPh sb="7" eb="8">
      <t>ジ</t>
    </rPh>
    <rPh sb="8" eb="10">
      <t>サンギョウ</t>
    </rPh>
    <rPh sb="10" eb="12">
      <t>ジンコウ</t>
    </rPh>
    <rPh sb="12" eb="14">
      <t>スイケイ</t>
    </rPh>
    <phoneticPr fontId="12"/>
  </si>
  <si>
    <t>従業地による就業者数</t>
    <phoneticPr fontId="3"/>
  </si>
  <si>
    <t>常住地による就業者数</t>
    <rPh sb="6" eb="9">
      <t>シュウギョウシャ</t>
    </rPh>
    <rPh sb="9" eb="10">
      <t>スウ</t>
    </rPh>
    <phoneticPr fontId="3"/>
  </si>
  <si>
    <t>X</t>
    <phoneticPr fontId="3"/>
  </si>
  <si>
    <t>-</t>
    <phoneticPr fontId="3"/>
  </si>
  <si>
    <t>工業出荷額</t>
    <rPh sb="0" eb="2">
      <t>コウギョウ</t>
    </rPh>
    <rPh sb="2" eb="4">
      <t>シュッカ</t>
    </rPh>
    <rPh sb="4" eb="5">
      <t>ガク</t>
    </rPh>
    <phoneticPr fontId="3"/>
  </si>
  <si>
    <t>28.電子部品・デバイス・電子回路製造業</t>
    <rPh sb="3" eb="5">
      <t>デンシ</t>
    </rPh>
    <rPh sb="5" eb="7">
      <t>ブヒン</t>
    </rPh>
    <rPh sb="13" eb="15">
      <t>デンシ</t>
    </rPh>
    <rPh sb="15" eb="17">
      <t>カイロ</t>
    </rPh>
    <rPh sb="17" eb="20">
      <t>セイゾウギョウ</t>
    </rPh>
    <phoneticPr fontId="3"/>
  </si>
  <si>
    <t>ﾃﾞﾌﾚｰﾀ</t>
    <phoneticPr fontId="3"/>
  </si>
  <si>
    <t>補正値</t>
    <phoneticPr fontId="3"/>
  </si>
  <si>
    <t xml:space="preserve"> -</t>
    <phoneticPr fontId="3"/>
  </si>
  <si>
    <t>　　　　　資料：工業統計調査、経済センサス-活動調査</t>
    <rPh sb="5" eb="7">
      <t>シリョウ</t>
    </rPh>
    <rPh sb="8" eb="10">
      <t>コウギョウ</t>
    </rPh>
    <rPh sb="10" eb="12">
      <t>トウケイ</t>
    </rPh>
    <rPh sb="12" eb="14">
      <t>チョウサ</t>
    </rPh>
    <rPh sb="15" eb="17">
      <t>ケイザイ</t>
    </rPh>
    <rPh sb="22" eb="24">
      <t>カツドウ</t>
    </rPh>
    <rPh sb="24" eb="26">
      <t>チョウサ</t>
    </rPh>
    <phoneticPr fontId="3"/>
  </si>
  <si>
    <t>商　　業　　販　　売　　額</t>
    <rPh sb="0" eb="1">
      <t>ショウ</t>
    </rPh>
    <rPh sb="3" eb="4">
      <t>ギョウ</t>
    </rPh>
    <rPh sb="6" eb="7">
      <t>ハン</t>
    </rPh>
    <rPh sb="9" eb="10">
      <t>バイ</t>
    </rPh>
    <rPh sb="12" eb="13">
      <t>ガク</t>
    </rPh>
    <phoneticPr fontId="3"/>
  </si>
  <si>
    <t>　卸　売　業　計</t>
    <rPh sb="1" eb="2">
      <t>オロシ</t>
    </rPh>
    <rPh sb="3" eb="4">
      <t>バイ</t>
    </rPh>
    <rPh sb="5" eb="6">
      <t>ギョウ</t>
    </rPh>
    <rPh sb="7" eb="8">
      <t>ケイ</t>
    </rPh>
    <phoneticPr fontId="14"/>
  </si>
  <si>
    <t>　小　売　業　計</t>
    <rPh sb="1" eb="2">
      <t>ショウ</t>
    </rPh>
    <rPh sb="3" eb="4">
      <t>バイ</t>
    </rPh>
    <rPh sb="5" eb="6">
      <t>ギョウ</t>
    </rPh>
    <rPh sb="7" eb="8">
      <t>ケイ</t>
    </rPh>
    <phoneticPr fontId="14"/>
  </si>
  <si>
    <t>補正値</t>
    <rPh sb="0" eb="3">
      <t>ホセイチ</t>
    </rPh>
    <phoneticPr fontId="3"/>
  </si>
  <si>
    <t>平 成１４ 年</t>
    <rPh sb="0" eb="1">
      <t>ヒラ</t>
    </rPh>
    <rPh sb="2" eb="3">
      <t>シゲル</t>
    </rPh>
    <rPh sb="6" eb="7">
      <t>ネン</t>
    </rPh>
    <phoneticPr fontId="3"/>
  </si>
  <si>
    <t>50．各種商品卸売業</t>
  </si>
  <si>
    <t>51．繊維・衣服等卸売業</t>
  </si>
  <si>
    <t>52．飲食料品卸売業</t>
  </si>
  <si>
    <t>53．建築材料，鉱物・金属材料等卸売業</t>
  </si>
  <si>
    <t>54．機械器具卸売業</t>
  </si>
  <si>
    <t>55．その他の卸売業</t>
  </si>
  <si>
    <t>56．各種商品小売業</t>
  </si>
  <si>
    <t>57．織物・衣服・身の回り品小売業</t>
  </si>
  <si>
    <t>58．飲食料品小売業</t>
  </si>
  <si>
    <t>59．機械器具小売業</t>
  </si>
  <si>
    <t>60．その他の小売業</t>
  </si>
  <si>
    <t>61．無店舗小売業</t>
  </si>
  <si>
    <t>Ｒ．公務（他に分類されないもの）</t>
    <phoneticPr fontId="3"/>
  </si>
  <si>
    <t>ｘ：基準年次（ｘ＝０）からの経過年数（15,20,25,30）</t>
    <rPh sb="2" eb="4">
      <t>キジュン</t>
    </rPh>
    <rPh sb="4" eb="6">
      <t>ネンジ</t>
    </rPh>
    <rPh sb="14" eb="16">
      <t>ケイカ</t>
    </rPh>
    <rPh sb="16" eb="18">
      <t>ネンスウ</t>
    </rPh>
    <phoneticPr fontId="12"/>
  </si>
  <si>
    <t>将来工業出荷額（デフレータ補正値）</t>
    <rPh sb="0" eb="2">
      <t>ショウライ</t>
    </rPh>
    <rPh sb="2" eb="4">
      <t>コウギョウ</t>
    </rPh>
    <rPh sb="4" eb="6">
      <t>シュッカ</t>
    </rPh>
    <rPh sb="6" eb="7">
      <t>ガク</t>
    </rPh>
    <rPh sb="13" eb="15">
      <t>ホセイ</t>
    </rPh>
    <rPh sb="15" eb="16">
      <t>チ</t>
    </rPh>
    <phoneticPr fontId="3"/>
  </si>
  <si>
    <t>単位：100万円</t>
    <rPh sb="0" eb="2">
      <t>タンイ</t>
    </rPh>
    <rPh sb="6" eb="8">
      <t>マンエン</t>
    </rPh>
    <phoneticPr fontId="3"/>
  </si>
  <si>
    <t>工業出荷額の将来推計</t>
    <rPh sb="0" eb="2">
      <t>コウギョウ</t>
    </rPh>
    <rPh sb="2" eb="4">
      <t>シュッカ</t>
    </rPh>
    <rPh sb="4" eb="5">
      <t>ガク</t>
    </rPh>
    <rPh sb="6" eb="8">
      <t>ショウライ</t>
    </rPh>
    <rPh sb="8" eb="10">
      <t>スイケイ</t>
    </rPh>
    <phoneticPr fontId="12"/>
  </si>
  <si>
    <t>工業出荷額</t>
    <rPh sb="0" eb="2">
      <t>コウギョウ</t>
    </rPh>
    <rPh sb="2" eb="4">
      <t>シュッカ</t>
    </rPh>
    <rPh sb="4" eb="5">
      <t>ガク</t>
    </rPh>
    <phoneticPr fontId="12"/>
  </si>
  <si>
    <t>（100万円）</t>
    <rPh sb="4" eb="5">
      <t>マン</t>
    </rPh>
    <rPh sb="5" eb="6">
      <t>エン</t>
    </rPh>
    <phoneticPr fontId="12"/>
  </si>
  <si>
    <t>実　績　値</t>
    <rPh sb="0" eb="1">
      <t>ミ</t>
    </rPh>
    <rPh sb="2" eb="3">
      <t>イサオ</t>
    </rPh>
    <rPh sb="4" eb="5">
      <t>アタイ</t>
    </rPh>
    <phoneticPr fontId="3"/>
  </si>
  <si>
    <t>x</t>
    <phoneticPr fontId="12"/>
  </si>
  <si>
    <t>y</t>
    <phoneticPr fontId="12"/>
  </si>
  <si>
    <t>xy</t>
    <phoneticPr fontId="12"/>
  </si>
  <si>
    <t>x^2</t>
    <phoneticPr fontId="12"/>
  </si>
  <si>
    <t>x^2*y</t>
    <phoneticPr fontId="12"/>
  </si>
  <si>
    <t>x^4</t>
    <phoneticPr fontId="12"/>
  </si>
  <si>
    <t>logy</t>
    <phoneticPr fontId="12"/>
  </si>
  <si>
    <t>xlogy</t>
    <phoneticPr fontId="12"/>
  </si>
  <si>
    <t>n</t>
    <phoneticPr fontId="12"/>
  </si>
  <si>
    <t>x=logn</t>
    <phoneticPr fontId="12"/>
  </si>
  <si>
    <t>Pn</t>
    <phoneticPr fontId="12"/>
  </si>
  <si>
    <t>Pn-Po</t>
    <phoneticPr fontId="12"/>
  </si>
  <si>
    <t>H14</t>
    <phoneticPr fontId="3"/>
  </si>
  <si>
    <t>H24</t>
    <phoneticPr fontId="3"/>
  </si>
  <si>
    <t>a</t>
    <phoneticPr fontId="12"/>
  </si>
  <si>
    <t>(イ）</t>
    <phoneticPr fontId="12"/>
  </si>
  <si>
    <t>(ロ）</t>
    <phoneticPr fontId="12"/>
  </si>
  <si>
    <t>(ハ）</t>
    <phoneticPr fontId="12"/>
  </si>
  <si>
    <t>(ニ）</t>
    <phoneticPr fontId="12"/>
  </si>
  <si>
    <t>(ホ）</t>
    <phoneticPr fontId="12"/>
  </si>
  <si>
    <t>Y=Po+r*ｎ</t>
    <phoneticPr fontId="12"/>
  </si>
  <si>
    <r>
      <t>Y=Po(1+r)</t>
    </r>
    <r>
      <rPr>
        <vertAlign val="superscript"/>
        <sz val="9"/>
        <rFont val="ＭＳ 明朝"/>
        <family val="1"/>
        <charset val="128"/>
      </rPr>
      <t>ｎ</t>
    </r>
    <phoneticPr fontId="12"/>
  </si>
  <si>
    <t>Y=a*x+b</t>
    <phoneticPr fontId="12"/>
  </si>
  <si>
    <r>
      <t>Y=a*x</t>
    </r>
    <r>
      <rPr>
        <vertAlign val="superscript"/>
        <sz val="9"/>
        <rFont val="ＭＳ 明朝"/>
        <family val="1"/>
        <charset val="128"/>
      </rPr>
      <t>2</t>
    </r>
    <r>
      <rPr>
        <sz val="9"/>
        <rFont val="ＭＳ 明朝"/>
        <family val="1"/>
        <charset val="128"/>
      </rPr>
      <t>+b*x+c</t>
    </r>
    <phoneticPr fontId="12"/>
  </si>
  <si>
    <r>
      <t>Y=a*b</t>
    </r>
    <r>
      <rPr>
        <vertAlign val="superscript"/>
        <sz val="9"/>
        <rFont val="ＭＳ 明朝"/>
        <family val="1"/>
        <charset val="128"/>
      </rPr>
      <t>x</t>
    </r>
    <phoneticPr fontId="12"/>
  </si>
  <si>
    <t>Ｇ. 電気・ガス・熱供給・水道業</t>
  </si>
  <si>
    <t>注）「-」は該当数値なし</t>
    <phoneticPr fontId="3"/>
  </si>
  <si>
    <t>　　売上金額について事業所単位の把握ができない一部の産業については「…」で表す。</t>
    <rPh sb="2" eb="4">
      <t>ウリアゲ</t>
    </rPh>
    <rPh sb="4" eb="6">
      <t>キンガク</t>
    </rPh>
    <rPh sb="37" eb="38">
      <t>アラワ</t>
    </rPh>
    <phoneticPr fontId="3"/>
  </si>
  <si>
    <t>　　また、規模別事業所数には「出向・派遣従業者のみ３事業所」を含まない｡</t>
    <rPh sb="15" eb="17">
      <t>シュッコウ</t>
    </rPh>
    <phoneticPr fontId="3"/>
  </si>
  <si>
    <t>22.木材・木製品</t>
    <rPh sb="3" eb="5">
      <t>モクザイ</t>
    </rPh>
    <rPh sb="6" eb="7">
      <t>モク</t>
    </rPh>
    <rPh sb="7" eb="9">
      <t>セイヒン</t>
    </rPh>
    <phoneticPr fontId="3"/>
  </si>
  <si>
    <t>23.家具・装飾品</t>
    <rPh sb="3" eb="5">
      <t>カグ</t>
    </rPh>
    <rPh sb="6" eb="9">
      <t>ソウショクヒン</t>
    </rPh>
    <phoneticPr fontId="3"/>
  </si>
  <si>
    <t>24.バルブ・紙・紙加工品</t>
    <rPh sb="7" eb="8">
      <t>カミ</t>
    </rPh>
    <rPh sb="9" eb="10">
      <t>カミ</t>
    </rPh>
    <rPh sb="10" eb="12">
      <t>カコウ</t>
    </rPh>
    <rPh sb="12" eb="13">
      <t>ヒン</t>
    </rPh>
    <phoneticPr fontId="3"/>
  </si>
  <si>
    <t>25.出版・印刷・同関連</t>
    <rPh sb="3" eb="5">
      <t>シュッパン</t>
    </rPh>
    <rPh sb="6" eb="8">
      <t>インサツ</t>
    </rPh>
    <rPh sb="9" eb="10">
      <t>ドウ</t>
    </rPh>
    <rPh sb="10" eb="12">
      <t>カンレン</t>
    </rPh>
    <phoneticPr fontId="3"/>
  </si>
  <si>
    <t>27.石油製品・石灰製品</t>
    <rPh sb="3" eb="5">
      <t>セキユ</t>
    </rPh>
    <rPh sb="5" eb="7">
      <t>セイヒン</t>
    </rPh>
    <rPh sb="8" eb="10">
      <t>セッカイ</t>
    </rPh>
    <rPh sb="10" eb="12">
      <t>セイヒン</t>
    </rPh>
    <phoneticPr fontId="3"/>
  </si>
  <si>
    <t>29.なめし皮・同製品・毛皮</t>
    <rPh sb="6" eb="7">
      <t>カワ</t>
    </rPh>
    <rPh sb="8" eb="11">
      <t>ドウセイヒン</t>
    </rPh>
    <rPh sb="12" eb="14">
      <t>ケガワ</t>
    </rPh>
    <phoneticPr fontId="3"/>
  </si>
  <si>
    <t>　　「-」は該当数値なし、「X」は統計法により公表を控えたもの</t>
    <phoneticPr fontId="3"/>
  </si>
  <si>
    <t>　　平成１３年以降は事業者４人以上の事業所の数値、「-」は該当数値なし、「X」は統計法により公表を控えたもの</t>
    <rPh sb="2" eb="4">
      <t>ヘイセイ</t>
    </rPh>
    <rPh sb="6" eb="7">
      <t>ネン</t>
    </rPh>
    <rPh sb="7" eb="9">
      <t>イコウ</t>
    </rPh>
    <rPh sb="10" eb="13">
      <t>ジギョウシャ</t>
    </rPh>
    <rPh sb="14" eb="15">
      <t>ニン</t>
    </rPh>
    <rPh sb="15" eb="17">
      <t>イジョウ</t>
    </rPh>
    <rPh sb="18" eb="21">
      <t>ジギョウショ</t>
    </rPh>
    <rPh sb="22" eb="24">
      <t>スウチ</t>
    </rPh>
    <phoneticPr fontId="3"/>
  </si>
  <si>
    <t>15.バルブ・紙・紙加工品</t>
    <rPh sb="7" eb="8">
      <t>カミ</t>
    </rPh>
    <rPh sb="9" eb="10">
      <t>カミ</t>
    </rPh>
    <rPh sb="10" eb="12">
      <t>カコウ</t>
    </rPh>
    <rPh sb="12" eb="13">
      <t>ヒン</t>
    </rPh>
    <phoneticPr fontId="3"/>
  </si>
  <si>
    <t>16.出版・印刷・同関連</t>
    <rPh sb="3" eb="5">
      <t>シュッパン</t>
    </rPh>
    <rPh sb="6" eb="8">
      <t>インサツ</t>
    </rPh>
    <rPh sb="9" eb="10">
      <t>ドウ</t>
    </rPh>
    <rPh sb="10" eb="12">
      <t>カンレン</t>
    </rPh>
    <phoneticPr fontId="3"/>
  </si>
  <si>
    <t>21.なめし皮・同製品・毛皮</t>
  </si>
  <si>
    <t>14.家具・装飾品</t>
    <rPh sb="3" eb="5">
      <t>カグ</t>
    </rPh>
    <rPh sb="6" eb="9">
      <t>ソウショクヒン</t>
    </rPh>
    <phoneticPr fontId="3"/>
  </si>
  <si>
    <t>織物・衣服・身の回り品</t>
  </si>
  <si>
    <t>自動車・自転車小売業</t>
  </si>
  <si>
    <t>　　「-」は該当数値なし、「X」は統計法により公表を控えたもの</t>
    <phoneticPr fontId="14"/>
  </si>
  <si>
    <t>平 成 ２３年</t>
    <rPh sb="0" eb="1">
      <t>ヒラ</t>
    </rPh>
    <rPh sb="2" eb="3">
      <t>シゲル</t>
    </rPh>
    <rPh sb="6" eb="7">
      <t>ネン</t>
    </rPh>
    <phoneticPr fontId="3"/>
  </si>
  <si>
    <t>平成23年</t>
    <rPh sb="0" eb="2">
      <t>ヘイセイ</t>
    </rPh>
    <rPh sb="4" eb="5">
      <t>ネン</t>
    </rPh>
    <phoneticPr fontId="3"/>
  </si>
  <si>
    <t>注）平成11年及び平成16年は民営の集計。</t>
    <rPh sb="0" eb="1">
      <t>チュウ</t>
    </rPh>
    <rPh sb="2" eb="4">
      <t>ヘイセイ</t>
    </rPh>
    <rPh sb="6" eb="7">
      <t>ネン</t>
    </rPh>
    <rPh sb="7" eb="8">
      <t>オヨ</t>
    </rPh>
    <rPh sb="13" eb="14">
      <t>ネン</t>
    </rPh>
    <rPh sb="15" eb="17">
      <t>ミンエイ</t>
    </rPh>
    <rPh sb="18" eb="20">
      <t>シュウケイ</t>
    </rPh>
    <phoneticPr fontId="3"/>
  </si>
  <si>
    <t>　　「-」は該当数値なし。</t>
    <phoneticPr fontId="3"/>
  </si>
  <si>
    <t>注）平成11年及び平成16年は民営の集計。平成16年規模別事業所数には「派遣・下請従業者のみ１事業所」を含まない｡</t>
    <rPh sb="0" eb="1">
      <t>チュウ</t>
    </rPh>
    <rPh sb="2" eb="4">
      <t>ヘイセイ</t>
    </rPh>
    <rPh sb="6" eb="7">
      <t>ネン</t>
    </rPh>
    <rPh sb="7" eb="8">
      <t>オヨ</t>
    </rPh>
    <rPh sb="9" eb="11">
      <t>ヘイセイ</t>
    </rPh>
    <rPh sb="13" eb="14">
      <t>ネン</t>
    </rPh>
    <rPh sb="15" eb="17">
      <t>ミンエイ</t>
    </rPh>
    <rPh sb="18" eb="20">
      <t>シュウケイ</t>
    </rPh>
    <rPh sb="21" eb="23">
      <t>ヘイセイ</t>
    </rPh>
    <rPh sb="25" eb="26">
      <t>ネン</t>
    </rPh>
    <phoneticPr fontId="3"/>
  </si>
  <si>
    <t>　　「-」は該当数値なし。</t>
    <phoneticPr fontId="3"/>
  </si>
  <si>
    <t>　　平成２０年以降の産業中分類の項目名・定義は平成１９年の日本標準産業分類の改訂後のものを適用しているため、平成１９年以前のものと合致しない</t>
    <phoneticPr fontId="3"/>
  </si>
  <si>
    <t>平成２７年　</t>
    <phoneticPr fontId="3"/>
  </si>
  <si>
    <t>-</t>
    <phoneticPr fontId="3"/>
  </si>
  <si>
    <t>H27</t>
    <phoneticPr fontId="3"/>
  </si>
  <si>
    <t>　H7　～　H27</t>
    <phoneticPr fontId="12"/>
  </si>
  <si>
    <t>Po：基準年次の人口（Ｈ27）</t>
    <rPh sb="3" eb="5">
      <t>キジュン</t>
    </rPh>
    <rPh sb="5" eb="7">
      <t>ネンジ</t>
    </rPh>
    <rPh sb="8" eb="10">
      <t>ジンコウ</t>
    </rPh>
    <phoneticPr fontId="12"/>
  </si>
  <si>
    <t>ｎ：基準年次（Ｈ27）からの経過年数（5,10,15,20）</t>
    <rPh sb="2" eb="4">
      <t>キジュン</t>
    </rPh>
    <rPh sb="4" eb="6">
      <t>ネンジ</t>
    </rPh>
    <rPh sb="14" eb="16">
      <t>ケイカ</t>
    </rPh>
    <rPh sb="16" eb="18">
      <t>ネンスウ</t>
    </rPh>
    <phoneticPr fontId="12"/>
  </si>
  <si>
    <t>令和２年</t>
    <rPh sb="0" eb="1">
      <t>レイ</t>
    </rPh>
    <rPh sb="1" eb="2">
      <t>ワ</t>
    </rPh>
    <rPh sb="3" eb="4">
      <t>ネン</t>
    </rPh>
    <phoneticPr fontId="3"/>
  </si>
  <si>
    <t>令和７年</t>
    <rPh sb="0" eb="1">
      <t>レイ</t>
    </rPh>
    <rPh sb="1" eb="2">
      <t>ワ</t>
    </rPh>
    <rPh sb="3" eb="4">
      <t>ネン</t>
    </rPh>
    <phoneticPr fontId="3"/>
  </si>
  <si>
    <t>令和12年</t>
    <rPh sb="0" eb="1">
      <t>レイ</t>
    </rPh>
    <rPh sb="1" eb="2">
      <t>ワ</t>
    </rPh>
    <rPh sb="4" eb="5">
      <t>ネン</t>
    </rPh>
    <phoneticPr fontId="3"/>
  </si>
  <si>
    <t>令和17年</t>
    <rPh sb="0" eb="1">
      <t>レイ</t>
    </rPh>
    <rPh sb="1" eb="2">
      <t>ワ</t>
    </rPh>
    <rPh sb="4" eb="5">
      <t>ネン</t>
    </rPh>
    <phoneticPr fontId="3"/>
  </si>
  <si>
    <t>(基準年次)</t>
    <rPh sb="1" eb="3">
      <t>キジュン</t>
    </rPh>
    <rPh sb="3" eb="5">
      <t>ネンジ</t>
    </rPh>
    <phoneticPr fontId="3"/>
  </si>
  <si>
    <t>(10年後)</t>
    <rPh sb="3" eb="5">
      <t>ネンゴ</t>
    </rPh>
    <phoneticPr fontId="3"/>
  </si>
  <si>
    <t>(20年後)</t>
    <rPh sb="3" eb="5">
      <t>ネンゴ</t>
    </rPh>
    <phoneticPr fontId="3"/>
  </si>
  <si>
    <t>R2（5年後）</t>
    <rPh sb="4" eb="6">
      <t>ネンゴ</t>
    </rPh>
    <phoneticPr fontId="12"/>
  </si>
  <si>
    <t>R7（10年後）</t>
    <rPh sb="5" eb="7">
      <t>ネンゴ</t>
    </rPh>
    <phoneticPr fontId="12"/>
  </si>
  <si>
    <t>R12（15年後）</t>
    <rPh sb="6" eb="8">
      <t>ネンゴ</t>
    </rPh>
    <phoneticPr fontId="12"/>
  </si>
  <si>
    <t>R17（20年後）</t>
    <rPh sb="6" eb="8">
      <t>ネンゴ</t>
    </rPh>
    <phoneticPr fontId="12"/>
  </si>
  <si>
    <t>注）平成22年以降の職業大分類の項目名・定義は、平成21年の日本標準職業分類の改訂後のものを適用しているため、平成17年以前のものと</t>
    <rPh sb="0" eb="1">
      <t>チュウ</t>
    </rPh>
    <rPh sb="7" eb="9">
      <t>イコウ</t>
    </rPh>
    <phoneticPr fontId="3"/>
  </si>
  <si>
    <t>Ａ 専門的・ 技術的職業従事者</t>
    <phoneticPr fontId="3"/>
  </si>
  <si>
    <t>Ｅ サービス職業従事者</t>
    <phoneticPr fontId="3"/>
  </si>
  <si>
    <t>Ｉ 生産工程・労務作業者</t>
    <phoneticPr fontId="3"/>
  </si>
  <si>
    <t xml:space="preserve">- </t>
  </si>
  <si>
    <t>平成２６年</t>
    <rPh sb="0" eb="2">
      <t>ヘイセイ</t>
    </rPh>
    <rPh sb="4" eb="5">
      <t>ネン</t>
    </rPh>
    <phoneticPr fontId="3"/>
  </si>
  <si>
    <t>…</t>
  </si>
  <si>
    <t>Ｐ．医療，福祉</t>
    <phoneticPr fontId="3"/>
  </si>
  <si>
    <t>Ｑ．複合サービス事業</t>
    <phoneticPr fontId="3"/>
  </si>
  <si>
    <t>注）規模別事業所数には「出向・派遣従業者のみ２事業所」を含まない｡</t>
    <rPh sb="0" eb="1">
      <t>チュウ</t>
    </rPh>
    <phoneticPr fontId="3"/>
  </si>
  <si>
    <t>　　売上金額は外国の会社及び法人でない団体を除き、事業所単位の把握ができない一部の産業については「…」で表す。</t>
    <rPh sb="52" eb="53">
      <t>アラワ</t>
    </rPh>
    <phoneticPr fontId="3"/>
  </si>
  <si>
    <t>　　「-」は該当数値なし。</t>
    <rPh sb="6" eb="8">
      <t>ガイトウ</t>
    </rPh>
    <rPh sb="8" eb="10">
      <t>スウチ</t>
    </rPh>
    <phoneticPr fontId="3"/>
  </si>
  <si>
    <t>平成２８年</t>
    <rPh sb="0" eb="2">
      <t>ヘイセイ</t>
    </rPh>
    <rPh sb="4" eb="5">
      <t>ネン</t>
    </rPh>
    <phoneticPr fontId="3"/>
  </si>
  <si>
    <t>注）平成28年は全事業所ではなく民営事業所のみで、売上金額はさらに外国の会社及び法人でない団体を除く。</t>
    <rPh sb="0" eb="1">
      <t>チュウ</t>
    </rPh>
    <rPh sb="2" eb="4">
      <t>ヘイセイ</t>
    </rPh>
    <rPh sb="6" eb="7">
      <t>ネン</t>
    </rPh>
    <rPh sb="8" eb="11">
      <t>ゼンジギョウ</t>
    </rPh>
    <rPh sb="11" eb="12">
      <t>ショ</t>
    </rPh>
    <rPh sb="16" eb="18">
      <t>ミンエイ</t>
    </rPh>
    <rPh sb="18" eb="21">
      <t>ジギョウショ</t>
    </rPh>
    <rPh sb="25" eb="27">
      <t>ウリアゲ</t>
    </rPh>
    <rPh sb="27" eb="29">
      <t>キンガク</t>
    </rPh>
    <rPh sb="33" eb="35">
      <t>ガイコク</t>
    </rPh>
    <rPh sb="36" eb="38">
      <t>カイシャ</t>
    </rPh>
    <rPh sb="38" eb="39">
      <t>オヨ</t>
    </rPh>
    <rPh sb="40" eb="42">
      <t>ホウジン</t>
    </rPh>
    <rPh sb="45" eb="47">
      <t>ダンタイ</t>
    </rPh>
    <rPh sb="48" eb="49">
      <t>ノゾ</t>
    </rPh>
    <phoneticPr fontId="3"/>
  </si>
  <si>
    <t>　　「-」は該当数値なし。「X」は統計法により公表を控えたもの。</t>
    <rPh sb="6" eb="8">
      <t>ガイトウ</t>
    </rPh>
    <rPh sb="8" eb="10">
      <t>スウチ</t>
    </rPh>
    <rPh sb="17" eb="20">
      <t>トウケイホウ</t>
    </rPh>
    <rPh sb="23" eb="25">
      <t>コウヒョウ</t>
    </rPh>
    <rPh sb="26" eb="27">
      <t>ヒカ</t>
    </rPh>
    <phoneticPr fontId="3"/>
  </si>
  <si>
    <t>Ｓ．公務（他に分類されるものを除く）</t>
    <rPh sb="2" eb="4">
      <t>コウム</t>
    </rPh>
    <rPh sb="15" eb="16">
      <t>ノゾ</t>
    </rPh>
    <phoneticPr fontId="3"/>
  </si>
  <si>
    <t>　　平成21年以降の産業大分類の項目名・定義は、平成19年の日本標準産業分類の改訂後のものを適用しているため、平成18年以前のものと合致しない。</t>
    <rPh sb="7" eb="9">
      <t>イコウ</t>
    </rPh>
    <phoneticPr fontId="3"/>
  </si>
  <si>
    <t>　　規模別事業所数には「出向・派遣従業者のみ３事業所」を含まない｡</t>
    <rPh sb="12" eb="14">
      <t>シュッコウ</t>
    </rPh>
    <phoneticPr fontId="3"/>
  </si>
  <si>
    <t>　　売上金額は、事業所単位の把握ができない一部の産業については「…」で表す。</t>
    <rPh sb="2" eb="4">
      <t>ウリアゲ</t>
    </rPh>
    <rPh sb="4" eb="6">
      <t>キンガク</t>
    </rPh>
    <rPh sb="35" eb="36">
      <t>アラワ</t>
    </rPh>
    <phoneticPr fontId="3"/>
  </si>
  <si>
    <t>　　規模別事業所数には「出向・派遣従業者のみ１事業所」を含まない｡</t>
    <rPh sb="12" eb="14">
      <t>シュッコウ</t>
    </rPh>
    <phoneticPr fontId="3"/>
  </si>
  <si>
    <t>　　売上金額は、外国の会社及び法人でない団体を除く。</t>
    <rPh sb="2" eb="4">
      <t>ウリアゲ</t>
    </rPh>
    <rPh sb="4" eb="6">
      <t>キンガク</t>
    </rPh>
    <rPh sb="8" eb="10">
      <t>ガイコク</t>
    </rPh>
    <rPh sb="11" eb="13">
      <t>カイシャ</t>
    </rPh>
    <rPh sb="13" eb="14">
      <t>オヨ</t>
    </rPh>
    <rPh sb="15" eb="17">
      <t>ホウジン</t>
    </rPh>
    <rPh sb="20" eb="22">
      <t>ダンタイ</t>
    </rPh>
    <rPh sb="23" eb="24">
      <t>ノゾ</t>
    </rPh>
    <phoneticPr fontId="3"/>
  </si>
  <si>
    <t>注）事業所数は、公務を含まない。</t>
    <rPh sb="0" eb="1">
      <t>チュウ</t>
    </rPh>
    <rPh sb="2" eb="5">
      <t>ジギョウショ</t>
    </rPh>
    <rPh sb="5" eb="6">
      <t>スウ</t>
    </rPh>
    <rPh sb="8" eb="10">
      <t>コウム</t>
    </rPh>
    <rPh sb="11" eb="12">
      <t>フク</t>
    </rPh>
    <phoneticPr fontId="3"/>
  </si>
  <si>
    <t>注）規模別事業所数には「派遣従業者のみ１事業所」を含まない｡</t>
    <rPh sb="0" eb="1">
      <t>チュウ</t>
    </rPh>
    <phoneticPr fontId="3"/>
  </si>
  <si>
    <t>　　平成21年以降の産業大分類の項目名・定義は平成19年の日本標準産業分類の改訂後のものを適用しているため、平成18年以前のものと合致しない。</t>
    <rPh sb="7" eb="9">
      <t>イコウ</t>
    </rPh>
    <phoneticPr fontId="3"/>
  </si>
  <si>
    <t>平成２５年</t>
    <rPh sb="0" eb="2">
      <t>ヘイセイ</t>
    </rPh>
    <rPh sb="4" eb="5">
      <t>ネン</t>
    </rPh>
    <phoneticPr fontId="3"/>
  </si>
  <si>
    <t>平成２７年</t>
    <rPh sb="0" eb="2">
      <t>ヘイセイ</t>
    </rPh>
    <rPh sb="4" eb="5">
      <t>ネン</t>
    </rPh>
    <phoneticPr fontId="3"/>
  </si>
  <si>
    <t>平成２９年</t>
    <rPh sb="0" eb="2">
      <t>ヘイセイ</t>
    </rPh>
    <rPh sb="4" eb="5">
      <t>ネン</t>
    </rPh>
    <phoneticPr fontId="3"/>
  </si>
  <si>
    <t>H27=1</t>
    <phoneticPr fontId="3"/>
  </si>
  <si>
    <t>H2</t>
    <phoneticPr fontId="3"/>
  </si>
  <si>
    <t>H3</t>
    <phoneticPr fontId="3"/>
  </si>
  <si>
    <t>H4</t>
    <phoneticPr fontId="3"/>
  </si>
  <si>
    <t>H5</t>
    <phoneticPr fontId="3"/>
  </si>
  <si>
    <t>H6</t>
    <phoneticPr fontId="3"/>
  </si>
  <si>
    <t>H7</t>
    <phoneticPr fontId="3"/>
  </si>
  <si>
    <t>H8</t>
    <phoneticPr fontId="3"/>
  </si>
  <si>
    <t>H9</t>
    <phoneticPr fontId="3"/>
  </si>
  <si>
    <t>H10</t>
    <phoneticPr fontId="3"/>
  </si>
  <si>
    <t>H11</t>
    <phoneticPr fontId="3"/>
  </si>
  <si>
    <t>H12</t>
    <phoneticPr fontId="3"/>
  </si>
  <si>
    <t>H13</t>
    <phoneticPr fontId="3"/>
  </si>
  <si>
    <t>H25</t>
  </si>
  <si>
    <t>H26</t>
  </si>
  <si>
    <t>H27</t>
  </si>
  <si>
    <t>H28</t>
  </si>
  <si>
    <t>H29</t>
  </si>
  <si>
    <t>22.鉄鋼業</t>
    <rPh sb="3" eb="5">
      <t>テッコウ</t>
    </rPh>
    <rPh sb="5" eb="6">
      <t>ギョウ</t>
    </rPh>
    <phoneticPr fontId="3"/>
  </si>
  <si>
    <t>注）デフレータ補正値は、平成２７年を１００とした企業物価指数（日本銀行調査統計局）により割り戻した値</t>
    <rPh sb="0" eb="1">
      <t>チュウ</t>
    </rPh>
    <rPh sb="7" eb="10">
      <t>ホセイチ</t>
    </rPh>
    <rPh sb="12" eb="14">
      <t>ヘイセイ</t>
    </rPh>
    <rPh sb="16" eb="17">
      <t>ネン</t>
    </rPh>
    <rPh sb="24" eb="26">
      <t>キギョウ</t>
    </rPh>
    <rPh sb="26" eb="28">
      <t>ブッカ</t>
    </rPh>
    <rPh sb="28" eb="30">
      <t>シスウ</t>
    </rPh>
    <rPh sb="31" eb="33">
      <t>ニホン</t>
    </rPh>
    <rPh sb="33" eb="35">
      <t>ギンコウ</t>
    </rPh>
    <rPh sb="35" eb="37">
      <t>チョウサ</t>
    </rPh>
    <rPh sb="37" eb="40">
      <t>トウケイキョク</t>
    </rPh>
    <rPh sb="44" eb="45">
      <t>ワ</t>
    </rPh>
    <rPh sb="46" eb="47">
      <t>モド</t>
    </rPh>
    <rPh sb="49" eb="50">
      <t>アタイ</t>
    </rPh>
    <phoneticPr fontId="3"/>
  </si>
  <si>
    <t>H29</t>
    <phoneticPr fontId="3"/>
  </si>
  <si>
    <t>H19</t>
    <phoneticPr fontId="3"/>
  </si>
  <si>
    <t>平成29年</t>
    <rPh sb="0" eb="2">
      <t>ヘイセイ</t>
    </rPh>
    <rPh sb="4" eb="5">
      <t>ネン</t>
    </rPh>
    <phoneticPr fontId="3"/>
  </si>
  <si>
    <t>2017年</t>
    <rPh sb="4" eb="5">
      <t>ネン</t>
    </rPh>
    <phoneticPr fontId="3"/>
  </si>
  <si>
    <t>2020年</t>
    <rPh sb="4" eb="5">
      <t>ネン</t>
    </rPh>
    <phoneticPr fontId="3"/>
  </si>
  <si>
    <t>2025年</t>
    <rPh sb="4" eb="5">
      <t>ネン</t>
    </rPh>
    <phoneticPr fontId="3"/>
  </si>
  <si>
    <t>2030年</t>
    <rPh sb="4" eb="5">
      <t>ネン</t>
    </rPh>
    <phoneticPr fontId="3"/>
  </si>
  <si>
    <t>2035年</t>
    <rPh sb="4" eb="5">
      <t>ネン</t>
    </rPh>
    <phoneticPr fontId="3"/>
  </si>
  <si>
    <t>　H9　～　H29</t>
    <phoneticPr fontId="12"/>
  </si>
  <si>
    <t>R2（3年後）</t>
    <rPh sb="4" eb="6">
      <t>ネンゴ</t>
    </rPh>
    <phoneticPr fontId="12"/>
  </si>
  <si>
    <t>R7（8年後）</t>
    <rPh sb="4" eb="6">
      <t>ネンゴ</t>
    </rPh>
    <phoneticPr fontId="12"/>
  </si>
  <si>
    <t>R12（13年後）</t>
    <rPh sb="6" eb="8">
      <t>ネンゴ</t>
    </rPh>
    <phoneticPr fontId="12"/>
  </si>
  <si>
    <t>R17（18年後）</t>
    <rPh sb="6" eb="8">
      <t>ネンゴ</t>
    </rPh>
    <phoneticPr fontId="12"/>
  </si>
  <si>
    <t>Po：基準年次の工業出荷額（Ｈ29）</t>
    <rPh sb="3" eb="5">
      <t>キジュン</t>
    </rPh>
    <rPh sb="5" eb="7">
      <t>ネンジ</t>
    </rPh>
    <rPh sb="8" eb="10">
      <t>コウギョウ</t>
    </rPh>
    <rPh sb="10" eb="12">
      <t>シュッカ</t>
    </rPh>
    <rPh sb="12" eb="13">
      <t>ガク</t>
    </rPh>
    <phoneticPr fontId="12"/>
  </si>
  <si>
    <t>ｎ：基準年次（Ｈ29）からの経過年数（3,8,13,18）</t>
    <rPh sb="2" eb="4">
      <t>キジュン</t>
    </rPh>
    <rPh sb="4" eb="6">
      <t>ネンジ</t>
    </rPh>
    <rPh sb="14" eb="16">
      <t>ケイカ</t>
    </rPh>
    <rPh sb="16" eb="18">
      <t>ネンスウ</t>
    </rPh>
    <phoneticPr fontId="12"/>
  </si>
  <si>
    <t>ｘ：基準年次（ｘ＝０）からの経過年数（14,19,24,29）</t>
    <rPh sb="2" eb="4">
      <t>キジュン</t>
    </rPh>
    <rPh sb="4" eb="6">
      <t>ネンジ</t>
    </rPh>
    <rPh sb="14" eb="16">
      <t>ケイカ</t>
    </rPh>
    <rPh sb="16" eb="18">
      <t>ネンスウ</t>
    </rPh>
    <phoneticPr fontId="12"/>
  </si>
  <si>
    <t>H2</t>
    <phoneticPr fontId="3"/>
  </si>
  <si>
    <t>H3</t>
    <phoneticPr fontId="3"/>
  </si>
  <si>
    <t>H4</t>
    <phoneticPr fontId="3"/>
  </si>
  <si>
    <t>H5</t>
    <phoneticPr fontId="3"/>
  </si>
  <si>
    <t>H6</t>
    <phoneticPr fontId="3"/>
  </si>
  <si>
    <t>H7</t>
    <phoneticPr fontId="3"/>
  </si>
  <si>
    <t>H8</t>
    <phoneticPr fontId="3"/>
  </si>
  <si>
    <t>H9</t>
    <phoneticPr fontId="3"/>
  </si>
  <si>
    <t>H10</t>
    <phoneticPr fontId="3"/>
  </si>
  <si>
    <t>H11</t>
    <phoneticPr fontId="3"/>
  </si>
  <si>
    <t>H12</t>
    <phoneticPr fontId="3"/>
  </si>
  <si>
    <t>注）デフレータ補正値は、平成２７年を１００とした消費者物価指数（総務省統計局）により割り戻した値</t>
    <rPh sb="0" eb="1">
      <t>チュウ</t>
    </rPh>
    <rPh sb="7" eb="9">
      <t>ホセイ</t>
    </rPh>
    <rPh sb="9" eb="10">
      <t>チ</t>
    </rPh>
    <rPh sb="12" eb="14">
      <t>ヘイセイ</t>
    </rPh>
    <rPh sb="16" eb="17">
      <t>ネン</t>
    </rPh>
    <rPh sb="24" eb="27">
      <t>ショウヒシャ</t>
    </rPh>
    <rPh sb="27" eb="29">
      <t>ブッカ</t>
    </rPh>
    <rPh sb="29" eb="31">
      <t>シスウ</t>
    </rPh>
    <rPh sb="32" eb="35">
      <t>ソウムショウ</t>
    </rPh>
    <rPh sb="35" eb="38">
      <t>トウケイキョク</t>
    </rPh>
    <rPh sb="42" eb="43">
      <t>ワ</t>
    </rPh>
    <rPh sb="44" eb="45">
      <t>モド</t>
    </rPh>
    <rPh sb="47" eb="48">
      <t>アタイ</t>
    </rPh>
    <phoneticPr fontId="3"/>
  </si>
  <si>
    <t>平 成 ２５年</t>
    <rPh sb="0" eb="1">
      <t>ヒラ</t>
    </rPh>
    <rPh sb="2" eb="3">
      <t>シゲル</t>
    </rPh>
    <rPh sb="6" eb="7">
      <t>ネン</t>
    </rPh>
    <phoneticPr fontId="3"/>
  </si>
  <si>
    <t>　　平成２３年以降の産業中分類の項目名・定義は平成１９年の日本標準産業分類の改訂後のものを適用しているため、平成１９年以前のものと合致しない</t>
    <rPh sb="7" eb="9">
      <t>イコウ</t>
    </rPh>
    <phoneticPr fontId="14"/>
  </si>
  <si>
    <t>平 成 ２７年</t>
    <rPh sb="0" eb="1">
      <t>ヒラ</t>
    </rPh>
    <rPh sb="2" eb="3">
      <t>シゲル</t>
    </rPh>
    <rPh sb="6" eb="7">
      <t>ネン</t>
    </rPh>
    <phoneticPr fontId="3"/>
  </si>
  <si>
    <t xml:space="preserve"> </t>
    <phoneticPr fontId="14"/>
  </si>
  <si>
    <t>　　　　　資料：商業統計調査、経済センサス-活動調査</t>
    <rPh sb="5" eb="7">
      <t>シリョウ</t>
    </rPh>
    <rPh sb="15" eb="17">
      <t>ケイザイ</t>
    </rPh>
    <rPh sb="22" eb="24">
      <t>カツドウ</t>
    </rPh>
    <rPh sb="24" eb="26">
      <t>チョウサ</t>
    </rPh>
    <phoneticPr fontId="3"/>
  </si>
  <si>
    <t>2015年</t>
    <rPh sb="4" eb="5">
      <t>ネン</t>
    </rPh>
    <phoneticPr fontId="3"/>
  </si>
  <si>
    <t>2011年</t>
    <rPh sb="4" eb="5">
      <t>ネン</t>
    </rPh>
    <phoneticPr fontId="3"/>
  </si>
  <si>
    <t>平成16年</t>
    <rPh sb="0" eb="2">
      <t>ヘイセイ</t>
    </rPh>
    <rPh sb="4" eb="5">
      <t>ネン</t>
    </rPh>
    <phoneticPr fontId="3"/>
  </si>
  <si>
    <t>2004年</t>
    <rPh sb="4" eb="5">
      <t>ネン</t>
    </rPh>
    <phoneticPr fontId="3"/>
  </si>
  <si>
    <t>平成11年</t>
    <rPh sb="0" eb="2">
      <t>ヘイセイ</t>
    </rPh>
    <rPh sb="4" eb="5">
      <t>ネン</t>
    </rPh>
    <phoneticPr fontId="3"/>
  </si>
  <si>
    <t>1999年</t>
    <rPh sb="4" eb="5">
      <t>ネン</t>
    </rPh>
    <phoneticPr fontId="3"/>
  </si>
  <si>
    <t>H27</t>
    <phoneticPr fontId="3"/>
  </si>
  <si>
    <t>H22</t>
    <phoneticPr fontId="3"/>
  </si>
  <si>
    <t>H12</t>
  </si>
  <si>
    <t>Po：基準年次の商業販売額（Ｈ27）</t>
    <rPh sb="3" eb="5">
      <t>キジュン</t>
    </rPh>
    <rPh sb="5" eb="7">
      <t>ネンジ</t>
    </rPh>
    <rPh sb="8" eb="10">
      <t>ショウギョウ</t>
    </rPh>
    <rPh sb="10" eb="12">
      <t>ハンバイ</t>
    </rPh>
    <rPh sb="12" eb="13">
      <t>ガク</t>
    </rPh>
    <phoneticPr fontId="12"/>
  </si>
  <si>
    <t>H6</t>
    <phoneticPr fontId="3"/>
  </si>
  <si>
    <t>H9</t>
    <phoneticPr fontId="3"/>
  </si>
  <si>
    <t>H14</t>
    <phoneticPr fontId="3"/>
  </si>
  <si>
    <t>H19</t>
    <phoneticPr fontId="3"/>
  </si>
  <si>
    <t>H23</t>
    <phoneticPr fontId="3"/>
  </si>
  <si>
    <t>Pn-Po</t>
    <phoneticPr fontId="12"/>
  </si>
  <si>
    <t>H11</t>
    <phoneticPr fontId="3"/>
  </si>
  <si>
    <t>H16</t>
    <phoneticPr fontId="3"/>
  </si>
  <si>
    <t>　H4　～　H24</t>
    <phoneticPr fontId="12"/>
  </si>
  <si>
    <r>
      <t>Y=Po(1+r)</t>
    </r>
    <r>
      <rPr>
        <vertAlign val="superscript"/>
        <sz val="10"/>
        <rFont val="ＭＳ 明朝"/>
        <family val="1"/>
        <charset val="128"/>
      </rPr>
      <t>ｎ</t>
    </r>
    <phoneticPr fontId="12"/>
  </si>
  <si>
    <r>
      <t>Y=a*x</t>
    </r>
    <r>
      <rPr>
        <vertAlign val="superscript"/>
        <sz val="10"/>
        <rFont val="ＭＳ 明朝"/>
        <family val="1"/>
        <charset val="128"/>
      </rPr>
      <t>2</t>
    </r>
    <r>
      <rPr>
        <sz val="10"/>
        <rFont val="ＭＳ 明朝"/>
        <family val="1"/>
        <charset val="128"/>
      </rPr>
      <t>+b*x+c</t>
    </r>
    <phoneticPr fontId="12"/>
  </si>
  <si>
    <r>
      <t>Y=a*b</t>
    </r>
    <r>
      <rPr>
        <vertAlign val="superscript"/>
        <sz val="10"/>
        <rFont val="ＭＳ 明朝"/>
        <family val="1"/>
        <charset val="128"/>
      </rPr>
      <t>x</t>
    </r>
    <phoneticPr fontId="12"/>
  </si>
  <si>
    <t>H8</t>
  </si>
  <si>
    <t>H10</t>
    <phoneticPr fontId="3"/>
  </si>
  <si>
    <t>H7</t>
    <phoneticPr fontId="3"/>
  </si>
  <si>
    <t>推計値</t>
    <rPh sb="0" eb="2">
      <t>スイケイ</t>
    </rPh>
    <rPh sb="2" eb="3">
      <t>アタイ</t>
    </rPh>
    <phoneticPr fontId="3"/>
  </si>
  <si>
    <t>yは単純延長法による推計値</t>
    <rPh sb="2" eb="4">
      <t>タンジュン</t>
    </rPh>
    <rPh sb="4" eb="7">
      <t>エンチョウホウ</t>
    </rPh>
    <rPh sb="10" eb="12">
      <t>スイケイ</t>
    </rPh>
    <phoneticPr fontId="12"/>
  </si>
  <si>
    <t>入力箇所</t>
    <rPh sb="0" eb="2">
      <t>ニュウリョク</t>
    </rPh>
    <rPh sb="2" eb="4">
      <t>カショ</t>
    </rPh>
    <phoneticPr fontId="3"/>
  </si>
  <si>
    <t>従業地による就業者数</t>
    <phoneticPr fontId="3"/>
  </si>
  <si>
    <t>平成７年　</t>
    <phoneticPr fontId="3"/>
  </si>
  <si>
    <t>平成１２年　</t>
    <phoneticPr fontId="3"/>
  </si>
  <si>
    <t>平成２２年　</t>
    <phoneticPr fontId="3"/>
  </si>
  <si>
    <t>平成１７年　</t>
    <phoneticPr fontId="3"/>
  </si>
  <si>
    <t>Ａ．農業</t>
    <phoneticPr fontId="3"/>
  </si>
  <si>
    <t>Ｂ．林業</t>
    <phoneticPr fontId="3"/>
  </si>
  <si>
    <t>Ｃ．漁業</t>
    <phoneticPr fontId="3"/>
  </si>
  <si>
    <t>第一次産業合計</t>
    <rPh sb="5" eb="7">
      <t>ゴウケイ</t>
    </rPh>
    <phoneticPr fontId="3"/>
  </si>
  <si>
    <t>Ｄ．鉱業</t>
    <phoneticPr fontId="3"/>
  </si>
  <si>
    <t>Ｅ．建設業</t>
    <phoneticPr fontId="3"/>
  </si>
  <si>
    <t>Ｆ．製造業</t>
    <phoneticPr fontId="3"/>
  </si>
  <si>
    <t>第二次産業合計</t>
    <rPh sb="5" eb="7">
      <t>ゴウケイ</t>
    </rPh>
    <phoneticPr fontId="3"/>
  </si>
  <si>
    <t>Ｇ．電気・ガス・水道業</t>
    <phoneticPr fontId="3"/>
  </si>
  <si>
    <t>Ｈ．運輸・通信業</t>
    <phoneticPr fontId="3"/>
  </si>
  <si>
    <t>Ｉ．卸売・小売業</t>
    <phoneticPr fontId="3"/>
  </si>
  <si>
    <t>Ｊ．金融・保険業</t>
    <phoneticPr fontId="3"/>
  </si>
  <si>
    <t>Ｋ．不動産業</t>
    <phoneticPr fontId="3"/>
  </si>
  <si>
    <t>Ｌ．サービス業</t>
    <phoneticPr fontId="3"/>
  </si>
  <si>
    <t>Ｍ．公務（他に分類されないもの）</t>
    <phoneticPr fontId="3"/>
  </si>
  <si>
    <t>第三次産業合計</t>
    <rPh sb="5" eb="7">
      <t>ゴウケイ</t>
    </rPh>
    <phoneticPr fontId="3"/>
  </si>
  <si>
    <t>Ｎ．分類不能</t>
    <phoneticPr fontId="3"/>
  </si>
  <si>
    <t xml:space="preserve">- </t>
    <phoneticPr fontId="3"/>
  </si>
  <si>
    <t>Ｂ．林業</t>
    <rPh sb="2" eb="4">
      <t>リンギョウ</t>
    </rPh>
    <phoneticPr fontId="3"/>
  </si>
  <si>
    <t>Ｃ．漁業</t>
    <rPh sb="2" eb="4">
      <t>ギョギョウ</t>
    </rPh>
    <phoneticPr fontId="3"/>
  </si>
  <si>
    <t>常住地による就業者数</t>
    <phoneticPr fontId="3"/>
  </si>
  <si>
    <t>従業地による就業者数</t>
    <phoneticPr fontId="3"/>
  </si>
  <si>
    <t>従業地による就業者数</t>
    <phoneticPr fontId="3"/>
  </si>
  <si>
    <t xml:space="preserve">％ </t>
  </si>
  <si>
    <t>資料：国勢調査</t>
    <rPh sb="0" eb="2">
      <t>シリョウ</t>
    </rPh>
    <rPh sb="3" eb="5">
      <t>コクセイ</t>
    </rPh>
    <rPh sb="5" eb="7">
      <t>チョウサ</t>
    </rPh>
    <phoneticPr fontId="3"/>
  </si>
  <si>
    <t>Ｉ 生産工程・労務作業者</t>
    <phoneticPr fontId="3"/>
  </si>
  <si>
    <t>1995年</t>
    <rPh sb="4" eb="5">
      <t>ネン</t>
    </rPh>
    <phoneticPr fontId="3"/>
  </si>
  <si>
    <t>2000年</t>
    <rPh sb="4" eb="5">
      <t>ネン</t>
    </rPh>
    <phoneticPr fontId="3"/>
  </si>
  <si>
    <t>2005年</t>
    <rPh sb="4" eb="5">
      <t>ネン</t>
    </rPh>
    <phoneticPr fontId="3"/>
  </si>
  <si>
    <t>2010年</t>
    <rPh sb="4" eb="5">
      <t>ネン</t>
    </rPh>
    <phoneticPr fontId="3"/>
  </si>
  <si>
    <t>　　合致しない。</t>
    <phoneticPr fontId="3"/>
  </si>
  <si>
    <t>　　平成25年について、町村別の卸売業の内訳は公表なし</t>
    <phoneticPr fontId="14"/>
  </si>
  <si>
    <t>将来年間商品販売額（デフレータ補正値）</t>
    <rPh sb="0" eb="2">
      <t>ショウライ</t>
    </rPh>
    <rPh sb="2" eb="4">
      <t>ネンカン</t>
    </rPh>
    <rPh sb="4" eb="6">
      <t>ショウヒン</t>
    </rPh>
    <rPh sb="6" eb="8">
      <t>ハンバイ</t>
    </rPh>
    <rPh sb="8" eb="9">
      <t>ガク</t>
    </rPh>
    <rPh sb="15" eb="17">
      <t>ホセイ</t>
    </rPh>
    <rPh sb="17" eb="18">
      <t>チ</t>
    </rPh>
    <phoneticPr fontId="3"/>
  </si>
  <si>
    <t>年間商品販売額の将来推計</t>
    <rPh sb="0" eb="2">
      <t>ネンカン</t>
    </rPh>
    <rPh sb="2" eb="4">
      <t>ショウヒン</t>
    </rPh>
    <rPh sb="4" eb="6">
      <t>ハンバイ</t>
    </rPh>
    <rPh sb="6" eb="7">
      <t>ガク</t>
    </rPh>
    <rPh sb="8" eb="10">
      <t>ショウライ</t>
    </rPh>
    <rPh sb="10" eb="12">
      <t>スイケイ</t>
    </rPh>
    <phoneticPr fontId="12"/>
  </si>
</sst>
</file>

<file path=xl/styles.xml><?xml version="1.0" encoding="utf-8"?>
<styleSheet xmlns="http://schemas.openxmlformats.org/spreadsheetml/2006/main">
  <numFmts count="13">
    <numFmt numFmtId="176" formatCode="#,##0_);[Red]\(#,##0\)"/>
    <numFmt numFmtId="177" formatCode="#,##0_ "/>
    <numFmt numFmtId="178" formatCode="#,##0.0"/>
    <numFmt numFmtId="179" formatCode="0_ "/>
    <numFmt numFmtId="180" formatCode="#,##0.00000_ "/>
    <numFmt numFmtId="181" formatCode="0.00000_ "/>
    <numFmt numFmtId="182" formatCode="0.00_ "/>
    <numFmt numFmtId="183" formatCode="0.0;__x0003_"/>
    <numFmt numFmtId="184" formatCode="0.0_);[Red]\(0.0\)"/>
    <numFmt numFmtId="185" formatCode="#,##0_ ;[Red]\-#,##0\ "/>
    <numFmt numFmtId="186" formatCode="0.0_ ;[Red]\-0.0\ "/>
    <numFmt numFmtId="187" formatCode="0.00_);[Red]\(0.00\)"/>
    <numFmt numFmtId="188" formatCode="0_);[Red]\(0\)"/>
  </numFmts>
  <fonts count="36">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明朝"/>
      <family val="1"/>
      <charset val="128"/>
    </font>
    <font>
      <sz val="10"/>
      <name val="ＭＳ Ｐゴシック"/>
      <family val="3"/>
      <charset val="128"/>
    </font>
    <font>
      <sz val="10"/>
      <name val="ＭＳ Ｐ明朝"/>
      <family val="1"/>
      <charset val="128"/>
    </font>
    <font>
      <sz val="9"/>
      <name val="ＭＳ 明朝"/>
      <family val="1"/>
      <charset val="128"/>
    </font>
    <font>
      <sz val="12"/>
      <name val="ＭＳ 明朝"/>
      <family val="1"/>
      <charset val="128"/>
    </font>
    <font>
      <sz val="11"/>
      <name val="ＭＳ 明朝"/>
      <family val="1"/>
      <charset val="128"/>
    </font>
    <font>
      <sz val="12"/>
      <name val="HGｺﾞｼｯｸM"/>
      <family val="3"/>
      <charset val="128"/>
    </font>
    <font>
      <sz val="11"/>
      <name val="明朝"/>
      <family val="1"/>
      <charset val="128"/>
    </font>
    <font>
      <sz val="6"/>
      <name val="ＭＳ Ｐ明朝"/>
      <family val="1"/>
      <charset val="128"/>
    </font>
    <font>
      <vertAlign val="superscript"/>
      <sz val="9"/>
      <name val="ＭＳ 明朝"/>
      <family val="1"/>
      <charset val="128"/>
    </font>
    <font>
      <sz val="6"/>
      <name val="ＭＳ 明朝"/>
      <family val="1"/>
      <charset val="128"/>
    </font>
    <font>
      <sz val="10"/>
      <color theme="1"/>
      <name val="ＭＳ 明朝"/>
      <family val="1"/>
      <charset val="128"/>
    </font>
    <font>
      <sz val="10"/>
      <color theme="0"/>
      <name val="ＭＳ 明朝"/>
      <family val="1"/>
      <charset val="128"/>
    </font>
    <font>
      <sz val="9"/>
      <color theme="1"/>
      <name val="Times New Roman"/>
      <family val="1"/>
    </font>
    <font>
      <b/>
      <sz val="10"/>
      <color theme="0"/>
      <name val="ＭＳ 明朝"/>
      <family val="1"/>
      <charset val="128"/>
    </font>
    <font>
      <sz val="10"/>
      <color rgb="FF9C6500"/>
      <name val="ＭＳ 明朝"/>
      <family val="1"/>
      <charset val="128"/>
    </font>
    <font>
      <sz val="11"/>
      <color theme="1"/>
      <name val="ＭＳ Ｐゴシック"/>
      <family val="3"/>
      <charset val="128"/>
      <scheme val="minor"/>
    </font>
    <font>
      <sz val="10"/>
      <color rgb="FFFA7D00"/>
      <name val="ＭＳ 明朝"/>
      <family val="1"/>
      <charset val="128"/>
    </font>
    <font>
      <sz val="10"/>
      <color rgb="FF9C0006"/>
      <name val="ＭＳ 明朝"/>
      <family val="1"/>
      <charset val="128"/>
    </font>
    <font>
      <b/>
      <sz val="10"/>
      <color rgb="FFFA7D00"/>
      <name val="ＭＳ 明朝"/>
      <family val="1"/>
      <charset val="128"/>
    </font>
    <font>
      <sz val="10"/>
      <color rgb="FFFF0000"/>
      <name val="ＭＳ 明朝"/>
      <family val="1"/>
      <charset val="128"/>
    </font>
    <font>
      <b/>
      <sz val="15"/>
      <color theme="3"/>
      <name val="ＭＳ 明朝"/>
      <family val="1"/>
      <charset val="128"/>
    </font>
    <font>
      <b/>
      <sz val="13"/>
      <color theme="3"/>
      <name val="ＭＳ 明朝"/>
      <family val="1"/>
      <charset val="128"/>
    </font>
    <font>
      <b/>
      <sz val="11"/>
      <color theme="3"/>
      <name val="ＭＳ 明朝"/>
      <family val="1"/>
      <charset val="128"/>
    </font>
    <font>
      <b/>
      <sz val="10"/>
      <color theme="1"/>
      <name val="ＭＳ 明朝"/>
      <family val="1"/>
      <charset val="128"/>
    </font>
    <font>
      <b/>
      <sz val="10"/>
      <color rgb="FF3F3F3F"/>
      <name val="ＭＳ 明朝"/>
      <family val="1"/>
      <charset val="128"/>
    </font>
    <font>
      <i/>
      <sz val="10"/>
      <color rgb="FF7F7F7F"/>
      <name val="ＭＳ 明朝"/>
      <family val="1"/>
      <charset val="128"/>
    </font>
    <font>
      <sz val="10"/>
      <color rgb="FF3F3F76"/>
      <name val="ＭＳ 明朝"/>
      <family val="1"/>
      <charset val="128"/>
    </font>
    <font>
      <sz val="10"/>
      <color rgb="FF006100"/>
      <name val="ＭＳ 明朝"/>
      <family val="1"/>
      <charset val="128"/>
    </font>
    <font>
      <sz val="10"/>
      <name val="HGｺﾞｼｯｸM"/>
      <family val="3"/>
      <charset val="128"/>
    </font>
    <font>
      <vertAlign val="superscript"/>
      <sz val="10"/>
      <name val="ＭＳ 明朝"/>
      <family val="1"/>
      <charset val="128"/>
    </font>
    <font>
      <i/>
      <sz val="10"/>
      <name val="ＭＳ 明朝"/>
      <family val="1"/>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s>
  <borders count="98">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style="hair">
        <color indexed="64"/>
      </left>
      <right/>
      <top style="hair">
        <color indexed="64"/>
      </top>
      <bottom/>
      <diagonal/>
    </border>
    <border>
      <left/>
      <right/>
      <top style="hair">
        <color indexed="64"/>
      </top>
      <bottom/>
      <diagonal/>
    </border>
    <border>
      <left/>
      <right style="hair">
        <color indexed="64"/>
      </right>
      <top/>
      <bottom/>
      <diagonal/>
    </border>
    <border>
      <left style="hair">
        <color indexed="64"/>
      </left>
      <right style="thin">
        <color indexed="64"/>
      </right>
      <top style="hair">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diagonal/>
    </border>
    <border>
      <left style="hair">
        <color indexed="64"/>
      </left>
      <right style="hair">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thin">
        <color indexed="64"/>
      </bottom>
      <diagonal/>
    </border>
    <border diagonalUp="1">
      <left style="hair">
        <color indexed="64"/>
      </left>
      <right style="hair">
        <color indexed="64"/>
      </right>
      <top style="thin">
        <color indexed="64"/>
      </top>
      <bottom style="thin">
        <color indexed="64"/>
      </bottom>
      <diagonal style="hair">
        <color indexed="64"/>
      </diagonal>
    </border>
    <border diagonalUp="1">
      <left style="hair">
        <color indexed="64"/>
      </left>
      <right/>
      <top style="thin">
        <color indexed="64"/>
      </top>
      <bottom style="thin">
        <color indexed="64"/>
      </bottom>
      <diagonal style="hair">
        <color indexed="64"/>
      </diagonal>
    </border>
    <border diagonalUp="1">
      <left style="hair">
        <color indexed="64"/>
      </left>
      <right style="thin">
        <color indexed="64"/>
      </right>
      <top style="thin">
        <color indexed="64"/>
      </top>
      <bottom style="thin">
        <color indexed="64"/>
      </bottom>
      <diagonal style="hair">
        <color indexed="64"/>
      </diagonal>
    </border>
    <border diagonalUp="1">
      <left style="hair">
        <color indexed="64"/>
      </left>
      <right style="hair">
        <color indexed="64"/>
      </right>
      <top style="thin">
        <color indexed="64"/>
      </top>
      <bottom style="hair">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thin">
        <color indexed="64"/>
      </bottom>
      <diagonal style="hair">
        <color indexed="64"/>
      </diagonal>
    </border>
    <border>
      <left style="hair">
        <color indexed="64"/>
      </left>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hair">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style="thin">
        <color indexed="64"/>
      </left>
      <right style="hair">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indexed="64"/>
      </left>
      <right/>
      <top style="thin">
        <color indexed="64"/>
      </top>
      <bottom style="thin">
        <color indexed="64"/>
      </bottom>
      <diagonal/>
    </border>
    <border diagonalUp="1">
      <left style="hair">
        <color indexed="64"/>
      </left>
      <right/>
      <top style="thin">
        <color indexed="64"/>
      </top>
      <bottom style="hair">
        <color indexed="64"/>
      </bottom>
      <diagonal style="hair">
        <color indexed="64"/>
      </diagonal>
    </border>
    <border diagonalUp="1">
      <left style="hair">
        <color indexed="64"/>
      </left>
      <right/>
      <top style="hair">
        <color indexed="64"/>
      </top>
      <bottom style="hair">
        <color indexed="64"/>
      </bottom>
      <diagonal style="hair">
        <color indexed="64"/>
      </diagonal>
    </border>
    <border diagonalUp="1">
      <left style="hair">
        <color indexed="64"/>
      </left>
      <right/>
      <top style="hair">
        <color indexed="64"/>
      </top>
      <bottom style="thin">
        <color indexed="64"/>
      </bottom>
      <diagonal style="hair">
        <color indexed="64"/>
      </diagonal>
    </border>
    <border diagonalUp="1">
      <left style="thin">
        <color indexed="64"/>
      </left>
      <right style="hair">
        <color indexed="64"/>
      </right>
      <top style="thin">
        <color indexed="64"/>
      </top>
      <bottom style="hair">
        <color indexed="64"/>
      </bottom>
      <diagonal style="hair">
        <color indexed="64"/>
      </diagonal>
    </border>
    <border diagonalUp="1">
      <left style="thin">
        <color indexed="64"/>
      </left>
      <right style="hair">
        <color indexed="64"/>
      </right>
      <top style="hair">
        <color indexed="64"/>
      </top>
      <bottom style="hair">
        <color indexed="64"/>
      </bottom>
      <diagonal style="hair">
        <color indexed="64"/>
      </diagonal>
    </border>
    <border diagonalUp="1">
      <left style="thin">
        <color indexed="64"/>
      </left>
      <right style="hair">
        <color indexed="64"/>
      </right>
      <top style="hair">
        <color indexed="64"/>
      </top>
      <bottom style="thin">
        <color indexed="64"/>
      </bottom>
      <diagonal style="hair">
        <color indexed="64"/>
      </diagonal>
    </border>
  </borders>
  <cellStyleXfs count="58">
    <xf numFmtId="0" fontId="0" fillId="0" borderId="0"/>
    <xf numFmtId="9" fontId="2" fillId="0" borderId="0" applyFont="0" applyFill="0" applyBorder="0" applyAlignment="0" applyProtection="0"/>
    <xf numFmtId="38" fontId="2" fillId="0" borderId="0" applyFont="0" applyFill="0" applyBorder="0" applyAlignment="0" applyProtection="0"/>
    <xf numFmtId="0" fontId="11" fillId="0" borderId="0"/>
    <xf numFmtId="0" fontId="5" fillId="0" borderId="0"/>
    <xf numFmtId="0" fontId="15" fillId="10" borderId="0" applyNumberFormat="0" applyBorder="0" applyAlignment="0" applyProtection="0">
      <alignment vertical="center"/>
    </xf>
    <xf numFmtId="0" fontId="15" fillId="14" borderId="0" applyNumberFormat="0" applyBorder="0" applyAlignment="0" applyProtection="0">
      <alignment vertical="center"/>
    </xf>
    <xf numFmtId="0" fontId="15" fillId="18" borderId="0" applyNumberFormat="0" applyBorder="0" applyAlignment="0" applyProtection="0">
      <alignment vertical="center"/>
    </xf>
    <xf numFmtId="0" fontId="15" fillId="22" borderId="0" applyNumberFormat="0" applyBorder="0" applyAlignment="0" applyProtection="0">
      <alignment vertical="center"/>
    </xf>
    <xf numFmtId="0" fontId="15" fillId="26" borderId="0" applyNumberFormat="0" applyBorder="0" applyAlignment="0" applyProtection="0">
      <alignment vertical="center"/>
    </xf>
    <xf numFmtId="0" fontId="15" fillId="30" borderId="0" applyNumberFormat="0" applyBorder="0" applyAlignment="0" applyProtection="0">
      <alignment vertical="center"/>
    </xf>
    <xf numFmtId="0" fontId="15" fillId="11" borderId="0" applyNumberFormat="0" applyBorder="0" applyAlignment="0" applyProtection="0">
      <alignment vertical="center"/>
    </xf>
    <xf numFmtId="0" fontId="15" fillId="15" borderId="0" applyNumberFormat="0" applyBorder="0" applyAlignment="0" applyProtection="0">
      <alignment vertical="center"/>
    </xf>
    <xf numFmtId="0" fontId="15" fillId="19" borderId="0" applyNumberFormat="0" applyBorder="0" applyAlignment="0" applyProtection="0">
      <alignment vertical="center"/>
    </xf>
    <xf numFmtId="0" fontId="15" fillId="23" borderId="0" applyNumberFormat="0" applyBorder="0" applyAlignment="0" applyProtection="0">
      <alignment vertical="center"/>
    </xf>
    <xf numFmtId="0" fontId="15" fillId="27" borderId="0" applyNumberFormat="0" applyBorder="0" applyAlignment="0" applyProtection="0">
      <alignment vertical="center"/>
    </xf>
    <xf numFmtId="0" fontId="15" fillId="31" borderId="0" applyNumberFormat="0" applyBorder="0" applyAlignment="0" applyProtection="0">
      <alignment vertical="center"/>
    </xf>
    <xf numFmtId="0" fontId="16" fillId="12" borderId="0" applyNumberFormat="0" applyBorder="0" applyAlignment="0" applyProtection="0">
      <alignment vertical="center"/>
    </xf>
    <xf numFmtId="0" fontId="16" fillId="16" borderId="0" applyNumberFormat="0" applyBorder="0" applyAlignment="0" applyProtection="0">
      <alignment vertical="center"/>
    </xf>
    <xf numFmtId="0" fontId="16" fillId="20" borderId="0" applyNumberFormat="0" applyBorder="0" applyAlignment="0" applyProtection="0">
      <alignment vertical="center"/>
    </xf>
    <xf numFmtId="0" fontId="16" fillId="24" borderId="0" applyNumberFormat="0" applyBorder="0" applyAlignment="0" applyProtection="0">
      <alignment vertical="center"/>
    </xf>
    <xf numFmtId="0" fontId="16" fillId="28" borderId="0" applyNumberFormat="0" applyBorder="0" applyAlignment="0" applyProtection="0">
      <alignment vertical="center"/>
    </xf>
    <xf numFmtId="0" fontId="16" fillId="32" borderId="0" applyNumberFormat="0" applyBorder="0" applyAlignment="0" applyProtection="0">
      <alignment vertical="center"/>
    </xf>
    <xf numFmtId="0" fontId="16" fillId="9" borderId="0" applyNumberFormat="0" applyBorder="0" applyAlignment="0" applyProtection="0">
      <alignment vertical="center"/>
    </xf>
    <xf numFmtId="0" fontId="16" fillId="13" borderId="0" applyNumberFormat="0" applyBorder="0" applyAlignment="0" applyProtection="0">
      <alignment vertical="center"/>
    </xf>
    <xf numFmtId="0" fontId="16" fillId="17" borderId="0" applyNumberFormat="0" applyBorder="0" applyAlignment="0" applyProtection="0">
      <alignment vertical="center"/>
    </xf>
    <xf numFmtId="0" fontId="16" fillId="21" borderId="0" applyNumberFormat="0" applyBorder="0" applyAlignment="0" applyProtection="0">
      <alignment vertical="center"/>
    </xf>
    <xf numFmtId="0" fontId="16" fillId="25" borderId="0" applyNumberFormat="0" applyBorder="0" applyAlignment="0" applyProtection="0">
      <alignment vertical="center"/>
    </xf>
    <xf numFmtId="0" fontId="16" fillId="29" borderId="0" applyNumberFormat="0" applyBorder="0" applyAlignment="0" applyProtection="0">
      <alignment vertical="center"/>
    </xf>
    <xf numFmtId="0" fontId="17" fillId="0" borderId="0" applyFill="0" applyBorder="0" applyAlignment="0">
      <alignment vertical="center"/>
    </xf>
    <xf numFmtId="0" fontId="18" fillId="7" borderId="88" applyNumberFormat="0" applyAlignment="0" applyProtection="0">
      <alignment vertical="center"/>
    </xf>
    <xf numFmtId="0" fontId="19" fillId="4" borderId="0" applyNumberFormat="0" applyBorder="0" applyAlignment="0" applyProtection="0">
      <alignment vertical="center"/>
    </xf>
    <xf numFmtId="9" fontId="20" fillId="0" borderId="0" applyFont="0" applyFill="0" applyBorder="0" applyAlignment="0" applyProtection="0">
      <alignment vertical="center"/>
    </xf>
    <xf numFmtId="9" fontId="2" fillId="0" borderId="0" applyFont="0" applyFill="0" applyBorder="0" applyAlignment="0" applyProtection="0"/>
    <xf numFmtId="9" fontId="2" fillId="0" borderId="0" applyFont="0" applyFill="0" applyBorder="0" applyAlignment="0" applyProtection="0"/>
    <xf numFmtId="0" fontId="1" fillId="8" borderId="89" applyNumberFormat="0" applyFont="0" applyAlignment="0" applyProtection="0">
      <alignment vertical="center"/>
    </xf>
    <xf numFmtId="0" fontId="21" fillId="0" borderId="87" applyNumberFormat="0" applyFill="0" applyAlignment="0" applyProtection="0">
      <alignment vertical="center"/>
    </xf>
    <xf numFmtId="0" fontId="22" fillId="3" borderId="0" applyNumberFormat="0" applyBorder="0" applyAlignment="0" applyProtection="0">
      <alignment vertical="center"/>
    </xf>
    <xf numFmtId="0" fontId="23" fillId="6" borderId="85" applyNumberFormat="0" applyAlignment="0" applyProtection="0">
      <alignment vertical="center"/>
    </xf>
    <xf numFmtId="0" fontId="24" fillId="0" borderId="0" applyNumberFormat="0" applyFill="0" applyBorder="0" applyAlignment="0" applyProtection="0">
      <alignment vertical="center"/>
    </xf>
    <xf numFmtId="38" fontId="20"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xf numFmtId="0" fontId="25" fillId="0" borderId="82" applyNumberFormat="0" applyFill="0" applyAlignment="0" applyProtection="0">
      <alignment vertical="center"/>
    </xf>
    <xf numFmtId="0" fontId="26" fillId="0" borderId="83" applyNumberFormat="0" applyFill="0" applyAlignment="0" applyProtection="0">
      <alignment vertical="center"/>
    </xf>
    <xf numFmtId="0" fontId="27" fillId="0" borderId="84" applyNumberFormat="0" applyFill="0" applyAlignment="0" applyProtection="0">
      <alignment vertical="center"/>
    </xf>
    <xf numFmtId="0" fontId="27" fillId="0" borderId="0" applyNumberFormat="0" applyFill="0" applyBorder="0" applyAlignment="0" applyProtection="0">
      <alignment vertical="center"/>
    </xf>
    <xf numFmtId="0" fontId="28" fillId="0" borderId="90" applyNumberFormat="0" applyFill="0" applyAlignment="0" applyProtection="0">
      <alignment vertical="center"/>
    </xf>
    <xf numFmtId="0" fontId="29" fillId="6" borderId="86" applyNumberFormat="0" applyAlignment="0" applyProtection="0">
      <alignment vertical="center"/>
    </xf>
    <xf numFmtId="0" fontId="30" fillId="0" borderId="0" applyNumberFormat="0" applyFill="0" applyBorder="0" applyAlignment="0" applyProtection="0">
      <alignment vertical="center"/>
    </xf>
    <xf numFmtId="0" fontId="31" fillId="5" borderId="85" applyNumberFormat="0" applyAlignment="0" applyProtection="0">
      <alignment vertical="center"/>
    </xf>
    <xf numFmtId="0" fontId="2" fillId="0" borderId="0"/>
    <xf numFmtId="0" fontId="11" fillId="0" borderId="0"/>
    <xf numFmtId="0" fontId="15" fillId="0" borderId="0">
      <alignment vertical="center"/>
    </xf>
    <xf numFmtId="0" fontId="2" fillId="0" borderId="0"/>
    <xf numFmtId="0" fontId="1" fillId="0" borderId="0">
      <alignment vertical="center"/>
    </xf>
    <xf numFmtId="0" fontId="2" fillId="0" borderId="0"/>
    <xf numFmtId="0" fontId="32" fillId="2" borderId="0" applyNumberFormat="0" applyBorder="0" applyAlignment="0" applyProtection="0">
      <alignment vertical="center"/>
    </xf>
  </cellStyleXfs>
  <cellXfs count="740">
    <xf numFmtId="0" fontId="0" fillId="0" borderId="0" xfId="0"/>
    <xf numFmtId="0" fontId="4" fillId="0" borderId="0" xfId="0" applyFont="1" applyAlignment="1">
      <alignment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horizontal="centerContinuous" vertical="center"/>
    </xf>
    <xf numFmtId="0" fontId="4" fillId="0" borderId="4" xfId="0" applyFont="1" applyBorder="1" applyAlignment="1">
      <alignment horizontal="centerContinuous" vertical="center"/>
    </xf>
    <xf numFmtId="0" fontId="4" fillId="0" borderId="1" xfId="0" applyFont="1" applyBorder="1" applyAlignment="1">
      <alignment horizontal="centerContinuous" vertical="center"/>
    </xf>
    <xf numFmtId="0" fontId="4" fillId="0" borderId="2" xfId="0" applyFont="1" applyBorder="1" applyAlignment="1">
      <alignment horizontal="centerContinuous" vertical="center"/>
    </xf>
    <xf numFmtId="0" fontId="4" fillId="0" borderId="5" xfId="0" applyFont="1" applyBorder="1" applyAlignment="1">
      <alignment horizontal="centerContinuous" vertical="center"/>
    </xf>
    <xf numFmtId="0" fontId="4" fillId="0" borderId="6" xfId="0" applyFont="1" applyBorder="1" applyAlignment="1">
      <alignment horizontal="centerContinuous" vertical="center"/>
    </xf>
    <xf numFmtId="0" fontId="4" fillId="0" borderId="7" xfId="0" applyFont="1" applyBorder="1" applyAlignment="1">
      <alignment horizontal="center" vertical="center"/>
    </xf>
    <xf numFmtId="0" fontId="4" fillId="0" borderId="8" xfId="0" applyFont="1" applyBorder="1" applyAlignment="1">
      <alignment horizontal="centerContinuous" vertical="center"/>
    </xf>
    <xf numFmtId="0" fontId="4" fillId="0" borderId="9" xfId="0" applyFont="1" applyBorder="1" applyAlignment="1">
      <alignment horizontal="centerContinuous" vertical="center"/>
    </xf>
    <xf numFmtId="0" fontId="4" fillId="0" borderId="10" xfId="0" applyFont="1" applyBorder="1" applyAlignment="1">
      <alignment horizontal="centerContinuous" vertical="center"/>
    </xf>
    <xf numFmtId="0" fontId="4" fillId="0" borderId="8"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shrinkToFit="1"/>
    </xf>
    <xf numFmtId="0" fontId="4" fillId="0" borderId="17"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5" xfId="0" applyFont="1" applyBorder="1" applyAlignment="1">
      <alignment vertical="center"/>
    </xf>
    <xf numFmtId="0" fontId="4" fillId="0" borderId="6" xfId="0" applyFont="1" applyBorder="1" applyAlignment="1">
      <alignment vertical="center"/>
    </xf>
    <xf numFmtId="176" fontId="4" fillId="0" borderId="0" xfId="0" applyNumberFormat="1" applyFont="1" applyBorder="1" applyAlignment="1">
      <alignment horizontal="right" vertical="center"/>
    </xf>
    <xf numFmtId="177" fontId="4" fillId="0" borderId="18" xfId="0" applyNumberFormat="1" applyFont="1" applyBorder="1" applyAlignment="1">
      <alignment vertical="center"/>
    </xf>
    <xf numFmtId="177" fontId="4" fillId="0" borderId="19" xfId="0" applyNumberFormat="1" applyFont="1" applyBorder="1" applyAlignment="1">
      <alignment vertical="center"/>
    </xf>
    <xf numFmtId="177" fontId="4" fillId="0" borderId="10" xfId="0" applyNumberFormat="1" applyFont="1" applyBorder="1" applyAlignment="1">
      <alignment vertical="center"/>
    </xf>
    <xf numFmtId="177" fontId="4" fillId="0" borderId="0" xfId="0" applyNumberFormat="1" applyFont="1" applyBorder="1" applyAlignment="1">
      <alignment vertical="center"/>
    </xf>
    <xf numFmtId="176" fontId="4" fillId="0" borderId="5" xfId="0" applyNumberFormat="1" applyFont="1" applyBorder="1" applyAlignment="1">
      <alignment horizontal="right" vertical="center"/>
    </xf>
    <xf numFmtId="177" fontId="4" fillId="0" borderId="6" xfId="0" applyNumberFormat="1" applyFont="1" applyBorder="1" applyAlignment="1">
      <alignment vertical="center"/>
    </xf>
    <xf numFmtId="0" fontId="4" fillId="0" borderId="0" xfId="0" applyFont="1" applyBorder="1" applyAlignment="1">
      <alignment vertical="center"/>
    </xf>
    <xf numFmtId="0" fontId="4" fillId="0" borderId="20" xfId="0" applyFont="1" applyBorder="1" applyAlignment="1">
      <alignment vertical="center"/>
    </xf>
    <xf numFmtId="0" fontId="4" fillId="0" borderId="21" xfId="0" applyFont="1" applyBorder="1" applyAlignment="1">
      <alignment vertical="center"/>
    </xf>
    <xf numFmtId="176" fontId="4" fillId="0" borderId="22" xfId="2" applyNumberFormat="1" applyFont="1" applyBorder="1" applyAlignment="1">
      <alignment vertical="center"/>
    </xf>
    <xf numFmtId="177" fontId="4" fillId="0" borderId="23" xfId="0" applyNumberFormat="1" applyFont="1" applyBorder="1" applyAlignment="1">
      <alignment vertical="center"/>
    </xf>
    <xf numFmtId="177" fontId="4" fillId="0" borderId="23" xfId="1" applyNumberFormat="1" applyFont="1" applyBorder="1" applyAlignment="1">
      <alignment vertical="center"/>
    </xf>
    <xf numFmtId="177" fontId="4" fillId="0" borderId="24" xfId="0" applyNumberFormat="1" applyFont="1" applyBorder="1" applyAlignment="1">
      <alignment vertical="center"/>
    </xf>
    <xf numFmtId="177" fontId="4" fillId="0" borderId="25" xfId="0" applyNumberFormat="1" applyFont="1" applyBorder="1" applyAlignment="1">
      <alignment vertical="center"/>
    </xf>
    <xf numFmtId="177" fontId="4" fillId="0" borderId="22" xfId="0" applyNumberFormat="1" applyFont="1" applyBorder="1" applyAlignment="1">
      <alignment vertical="center"/>
    </xf>
    <xf numFmtId="176" fontId="4" fillId="0" borderId="20" xfId="2" applyNumberFormat="1" applyFont="1" applyBorder="1" applyAlignment="1">
      <alignment vertical="center"/>
    </xf>
    <xf numFmtId="177" fontId="4" fillId="0" borderId="21" xfId="0" applyNumberFormat="1" applyFont="1" applyBorder="1" applyAlignment="1">
      <alignment vertical="center"/>
    </xf>
    <xf numFmtId="176" fontId="4" fillId="0" borderId="22" xfId="0" applyNumberFormat="1" applyFont="1" applyBorder="1" applyAlignment="1">
      <alignment vertical="center"/>
    </xf>
    <xf numFmtId="176" fontId="4" fillId="0" borderId="20" xfId="0" applyNumberFormat="1" applyFont="1" applyBorder="1" applyAlignment="1">
      <alignment vertical="center"/>
    </xf>
    <xf numFmtId="0" fontId="4" fillId="0" borderId="7" xfId="0" applyFont="1" applyBorder="1" applyAlignment="1">
      <alignment vertical="center"/>
    </xf>
    <xf numFmtId="0" fontId="4" fillId="0" borderId="26" xfId="0" applyFont="1" applyBorder="1" applyAlignment="1">
      <alignment vertical="center"/>
    </xf>
    <xf numFmtId="177" fontId="4" fillId="0" borderId="8" xfId="0" applyNumberFormat="1" applyFont="1" applyBorder="1" applyAlignment="1">
      <alignment vertical="center"/>
    </xf>
    <xf numFmtId="177" fontId="4" fillId="0" borderId="27" xfId="0" applyNumberFormat="1" applyFont="1" applyBorder="1" applyAlignment="1">
      <alignment vertical="center"/>
    </xf>
    <xf numFmtId="177" fontId="4" fillId="0" borderId="28" xfId="0" applyNumberFormat="1" applyFont="1" applyBorder="1" applyAlignment="1">
      <alignment vertical="center"/>
    </xf>
    <xf numFmtId="177" fontId="4" fillId="0" borderId="9" xfId="0" applyNumberFormat="1" applyFont="1" applyBorder="1" applyAlignment="1">
      <alignment vertical="center"/>
    </xf>
    <xf numFmtId="0" fontId="4" fillId="0" borderId="29" xfId="0" applyFont="1" applyBorder="1" applyAlignment="1">
      <alignment horizontal="centerContinuous" vertical="center"/>
    </xf>
    <xf numFmtId="0" fontId="4" fillId="0" borderId="30" xfId="0" applyFont="1" applyBorder="1" applyAlignment="1">
      <alignment horizontal="centerContinuous" vertical="center"/>
    </xf>
    <xf numFmtId="177" fontId="4" fillId="0" borderId="15" xfId="0" applyNumberFormat="1" applyFont="1" applyBorder="1" applyAlignment="1">
      <alignment vertical="center"/>
    </xf>
    <xf numFmtId="177" fontId="4" fillId="0" borderId="16" xfId="0" applyNumberFormat="1" applyFont="1" applyBorder="1" applyAlignment="1">
      <alignment vertical="center"/>
    </xf>
    <xf numFmtId="177" fontId="4" fillId="0" borderId="17" xfId="0" applyNumberFormat="1" applyFont="1" applyBorder="1" applyAlignment="1">
      <alignment vertical="center"/>
    </xf>
    <xf numFmtId="177" fontId="4" fillId="0" borderId="31" xfId="0" applyNumberFormat="1" applyFont="1" applyBorder="1" applyAlignment="1">
      <alignment vertical="center"/>
    </xf>
    <xf numFmtId="177" fontId="4" fillId="0" borderId="30" xfId="0" applyNumberFormat="1" applyFont="1" applyBorder="1" applyAlignment="1">
      <alignment vertical="center"/>
    </xf>
    <xf numFmtId="0" fontId="4" fillId="0" borderId="0" xfId="0" applyFont="1" applyBorder="1" applyAlignment="1">
      <alignment horizontal="centerContinuous" vertical="center"/>
    </xf>
    <xf numFmtId="176" fontId="4" fillId="0" borderId="0" xfId="0" applyNumberFormat="1" applyFont="1" applyBorder="1" applyAlignment="1">
      <alignment vertical="center"/>
    </xf>
    <xf numFmtId="0" fontId="4" fillId="0" borderId="23" xfId="0" applyFont="1" applyBorder="1" applyAlignment="1">
      <alignment horizontal="centerContinuous" vertical="center"/>
    </xf>
    <xf numFmtId="0" fontId="4" fillId="0" borderId="22" xfId="0" applyFont="1" applyBorder="1" applyAlignment="1">
      <alignment horizontal="centerContinuous" vertical="center"/>
    </xf>
    <xf numFmtId="0" fontId="4" fillId="0" borderId="25" xfId="0" applyFont="1" applyBorder="1" applyAlignment="1">
      <alignment horizontal="centerContinuous" vertical="center"/>
    </xf>
    <xf numFmtId="0" fontId="4" fillId="0" borderId="15"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20" xfId="0" applyFont="1" applyBorder="1" applyAlignment="1">
      <alignment horizontal="left" vertical="center" indent="1"/>
    </xf>
    <xf numFmtId="0" fontId="4" fillId="0" borderId="22" xfId="0" applyFont="1" applyBorder="1" applyAlignment="1">
      <alignment vertical="center"/>
    </xf>
    <xf numFmtId="0" fontId="4" fillId="0" borderId="29" xfId="0" applyFont="1" applyBorder="1" applyAlignment="1">
      <alignment horizontal="left" vertical="center" indent="1"/>
    </xf>
    <xf numFmtId="0" fontId="4" fillId="0" borderId="31" xfId="0" applyFont="1" applyBorder="1" applyAlignment="1">
      <alignment vertical="center"/>
    </xf>
    <xf numFmtId="177" fontId="4" fillId="0" borderId="0" xfId="0" applyNumberFormat="1" applyFont="1" applyAlignment="1">
      <alignment vertical="center"/>
    </xf>
    <xf numFmtId="177" fontId="4" fillId="0" borderId="0" xfId="0" applyNumberFormat="1" applyFont="1" applyAlignment="1">
      <alignment horizontal="right" vertical="center"/>
    </xf>
    <xf numFmtId="177" fontId="4" fillId="0" borderId="1" xfId="0" applyNumberFormat="1" applyFont="1" applyBorder="1" applyAlignment="1">
      <alignment horizontal="centerContinuous" vertical="center"/>
    </xf>
    <xf numFmtId="177" fontId="4" fillId="0" borderId="32" xfId="0" applyNumberFormat="1" applyFont="1" applyBorder="1" applyAlignment="1">
      <alignment horizontal="centerContinuous" vertical="center"/>
    </xf>
    <xf numFmtId="177" fontId="4" fillId="0" borderId="33" xfId="0" applyNumberFormat="1" applyFont="1" applyBorder="1" applyAlignment="1">
      <alignment horizontal="centerContinuous" vertical="center"/>
    </xf>
    <xf numFmtId="177" fontId="4" fillId="0" borderId="34" xfId="0" applyNumberFormat="1" applyFont="1" applyBorder="1" applyAlignment="1">
      <alignment horizontal="centerContinuous" vertical="center"/>
    </xf>
    <xf numFmtId="177" fontId="4" fillId="0" borderId="35" xfId="0" applyNumberFormat="1" applyFont="1" applyBorder="1" applyAlignment="1">
      <alignment horizontal="center" vertical="center"/>
    </xf>
    <xf numFmtId="177" fontId="4" fillId="0" borderId="16" xfId="0" applyNumberFormat="1" applyFont="1" applyBorder="1" applyAlignment="1">
      <alignment horizontal="center" vertical="center"/>
    </xf>
    <xf numFmtId="177" fontId="4" fillId="0" borderId="36" xfId="0" applyNumberFormat="1" applyFont="1" applyBorder="1" applyAlignment="1">
      <alignment horizontal="center" vertical="center"/>
    </xf>
    <xf numFmtId="177" fontId="4" fillId="0" borderId="37" xfId="0" applyNumberFormat="1" applyFont="1" applyBorder="1" applyAlignment="1">
      <alignment vertical="center"/>
    </xf>
    <xf numFmtId="177" fontId="4" fillId="0" borderId="38" xfId="0" applyNumberFormat="1" applyFont="1" applyBorder="1" applyAlignment="1">
      <alignment vertical="center"/>
    </xf>
    <xf numFmtId="177" fontId="4" fillId="0" borderId="39" xfId="0" applyNumberFormat="1" applyFont="1" applyBorder="1" applyAlignment="1">
      <alignment vertical="center"/>
    </xf>
    <xf numFmtId="177" fontId="4" fillId="0" borderId="40" xfId="0" applyNumberFormat="1" applyFont="1" applyBorder="1" applyAlignment="1">
      <alignment vertical="center"/>
    </xf>
    <xf numFmtId="177" fontId="4" fillId="0" borderId="35" xfId="0" applyNumberFormat="1" applyFont="1" applyBorder="1" applyAlignment="1">
      <alignment vertical="center"/>
    </xf>
    <xf numFmtId="177" fontId="4" fillId="0" borderId="36" xfId="0" applyNumberFormat="1" applyFont="1" applyBorder="1" applyAlignment="1">
      <alignment vertical="center"/>
    </xf>
    <xf numFmtId="0" fontId="4" fillId="0" borderId="0" xfId="0" applyFont="1" applyAlignment="1">
      <alignment horizontal="center" vertical="center"/>
    </xf>
    <xf numFmtId="177" fontId="4" fillId="0" borderId="39" xfId="0" applyNumberFormat="1" applyFont="1" applyBorder="1" applyAlignment="1">
      <alignment horizontal="center" vertical="center"/>
    </xf>
    <xf numFmtId="177" fontId="4" fillId="0" borderId="41" xfId="0" applyNumberFormat="1" applyFont="1" applyBorder="1" applyAlignment="1">
      <alignment vertical="center"/>
    </xf>
    <xf numFmtId="0" fontId="4" fillId="0" borderId="34" xfId="0" applyFont="1" applyBorder="1" applyAlignment="1">
      <alignment horizontal="centerContinuous" vertical="center"/>
    </xf>
    <xf numFmtId="177" fontId="4" fillId="0" borderId="42" xfId="0" applyNumberFormat="1" applyFont="1" applyBorder="1" applyAlignment="1">
      <alignment vertical="center"/>
    </xf>
    <xf numFmtId="177" fontId="4" fillId="0" borderId="11" xfId="0" applyNumberFormat="1" applyFont="1" applyBorder="1" applyAlignment="1">
      <alignment vertical="center"/>
    </xf>
    <xf numFmtId="177" fontId="4" fillId="0" borderId="43" xfId="0" applyNumberFormat="1" applyFont="1" applyBorder="1" applyAlignment="1">
      <alignment vertical="center"/>
    </xf>
    <xf numFmtId="177" fontId="4" fillId="0" borderId="44" xfId="0" applyNumberFormat="1" applyFont="1" applyBorder="1" applyAlignment="1">
      <alignment vertical="center"/>
    </xf>
    <xf numFmtId="176" fontId="4" fillId="0" borderId="35" xfId="2" applyNumberFormat="1" applyFont="1" applyBorder="1" applyAlignment="1">
      <alignment vertical="center"/>
    </xf>
    <xf numFmtId="49" fontId="4" fillId="0" borderId="0" xfId="0" applyNumberFormat="1" applyFont="1" applyAlignment="1">
      <alignment vertical="center"/>
    </xf>
    <xf numFmtId="0" fontId="4" fillId="0" borderId="0" xfId="0" applyFont="1" applyAlignment="1">
      <alignment horizontal="right" vertical="center"/>
    </xf>
    <xf numFmtId="0" fontId="5" fillId="0" borderId="5" xfId="0" applyFont="1" applyBorder="1" applyAlignment="1">
      <alignment horizontal="center" vertical="center"/>
    </xf>
    <xf numFmtId="0" fontId="5" fillId="0" borderId="0" xfId="0" applyFont="1" applyBorder="1" applyAlignment="1">
      <alignment horizontal="center" vertical="center"/>
    </xf>
    <xf numFmtId="177" fontId="4" fillId="0" borderId="37" xfId="0" applyNumberFormat="1" applyFont="1" applyBorder="1" applyAlignment="1">
      <alignment horizontal="center" vertical="center"/>
    </xf>
    <xf numFmtId="177" fontId="4" fillId="0" borderId="10" xfId="0" applyNumberFormat="1" applyFont="1" applyBorder="1" applyAlignment="1">
      <alignment horizontal="center" vertical="center"/>
    </xf>
    <xf numFmtId="49" fontId="4" fillId="0" borderId="5" xfId="0" applyNumberFormat="1" applyFont="1" applyBorder="1" applyAlignment="1">
      <alignment horizontal="centerContinuous" vertical="center"/>
    </xf>
    <xf numFmtId="49" fontId="4" fillId="0" borderId="20" xfId="0" applyNumberFormat="1" applyFont="1" applyBorder="1" applyAlignment="1">
      <alignment horizontal="left" vertical="center" indent="1"/>
    </xf>
    <xf numFmtId="49" fontId="4" fillId="0" borderId="20" xfId="0" applyNumberFormat="1" applyFont="1" applyBorder="1" applyAlignment="1">
      <alignment vertical="center"/>
    </xf>
    <xf numFmtId="0" fontId="4" fillId="0" borderId="22" xfId="0" applyFont="1" applyBorder="1" applyAlignment="1">
      <alignment horizontal="distributed" vertical="center"/>
    </xf>
    <xf numFmtId="49" fontId="4" fillId="0" borderId="20" xfId="0" applyNumberFormat="1" applyFont="1" applyBorder="1" applyAlignment="1">
      <alignment horizontal="centerContinuous" vertical="center"/>
    </xf>
    <xf numFmtId="49" fontId="4" fillId="0" borderId="7" xfId="0" applyNumberFormat="1" applyFont="1" applyBorder="1" applyAlignment="1">
      <alignment vertical="center"/>
    </xf>
    <xf numFmtId="0" fontId="4" fillId="0" borderId="9" xfId="0" applyFont="1" applyBorder="1" applyAlignment="1">
      <alignment horizontal="distributed" vertical="center"/>
    </xf>
    <xf numFmtId="49" fontId="4" fillId="0" borderId="45" xfId="0" applyNumberFormat="1" applyFont="1" applyBorder="1" applyAlignment="1">
      <alignment vertical="center"/>
    </xf>
    <xf numFmtId="0" fontId="4" fillId="0" borderId="46" xfId="0" applyFont="1" applyBorder="1" applyAlignment="1">
      <alignment horizontal="distributed" vertical="center"/>
    </xf>
    <xf numFmtId="177" fontId="4" fillId="0" borderId="47" xfId="0" applyNumberFormat="1" applyFont="1" applyBorder="1" applyAlignment="1">
      <alignment vertical="center"/>
    </xf>
    <xf numFmtId="49" fontId="4" fillId="0" borderId="29" xfId="0" applyNumberFormat="1" applyFont="1" applyBorder="1" applyAlignment="1">
      <alignment vertical="center"/>
    </xf>
    <xf numFmtId="0" fontId="4" fillId="0" borderId="31" xfId="0" applyFont="1" applyBorder="1" applyAlignment="1">
      <alignment horizontal="distributed" vertical="center"/>
    </xf>
    <xf numFmtId="49" fontId="4" fillId="0" borderId="0" xfId="0" applyNumberFormat="1" applyFont="1" applyBorder="1" applyAlignment="1">
      <alignment vertical="center"/>
    </xf>
    <xf numFmtId="0" fontId="4" fillId="0" borderId="0" xfId="0" applyFont="1" applyBorder="1" applyAlignment="1">
      <alignment horizontal="distributed" vertical="center"/>
    </xf>
    <xf numFmtId="177" fontId="4" fillId="0" borderId="0" xfId="0" applyNumberFormat="1" applyFont="1" applyBorder="1" applyAlignment="1">
      <alignment horizontal="right" vertical="center"/>
    </xf>
    <xf numFmtId="177" fontId="4" fillId="0" borderId="4" xfId="0" applyNumberFormat="1" applyFont="1" applyBorder="1" applyAlignment="1">
      <alignment horizontal="centerContinuous" vertical="center"/>
    </xf>
    <xf numFmtId="177" fontId="4" fillId="0" borderId="48" xfId="0" applyNumberFormat="1" applyFont="1" applyBorder="1" applyAlignment="1">
      <alignment horizontal="centerContinuous" vertical="center"/>
    </xf>
    <xf numFmtId="177" fontId="4" fillId="0" borderId="49" xfId="0" applyNumberFormat="1" applyFont="1" applyBorder="1" applyAlignment="1">
      <alignment horizontal="center" vertical="center"/>
    </xf>
    <xf numFmtId="177" fontId="4" fillId="0" borderId="42" xfId="0" applyNumberFormat="1" applyFont="1" applyBorder="1" applyAlignment="1">
      <alignment horizontal="center" vertical="center"/>
    </xf>
    <xf numFmtId="177" fontId="4" fillId="0" borderId="25" xfId="0" applyNumberFormat="1" applyFont="1" applyBorder="1" applyAlignment="1">
      <alignment horizontal="right" vertical="center"/>
    </xf>
    <xf numFmtId="177" fontId="4" fillId="0" borderId="40" xfId="0" applyNumberFormat="1" applyFont="1" applyBorder="1" applyAlignment="1">
      <alignment horizontal="center" vertical="center"/>
    </xf>
    <xf numFmtId="3" fontId="4" fillId="0" borderId="23" xfId="0" applyNumberFormat="1" applyFont="1" applyBorder="1" applyAlignment="1">
      <alignment vertical="center"/>
    </xf>
    <xf numFmtId="3" fontId="4" fillId="0" borderId="24" xfId="0" applyNumberFormat="1" applyFont="1" applyBorder="1" applyAlignment="1">
      <alignment vertical="center"/>
    </xf>
    <xf numFmtId="3" fontId="4" fillId="0" borderId="25" xfId="0" applyNumberFormat="1" applyFont="1" applyBorder="1" applyAlignment="1">
      <alignment vertical="center"/>
    </xf>
    <xf numFmtId="3" fontId="4" fillId="0" borderId="15" xfId="0" applyNumberFormat="1" applyFont="1" applyBorder="1" applyAlignment="1">
      <alignment vertical="center" shrinkToFit="1"/>
    </xf>
    <xf numFmtId="3" fontId="4" fillId="0" borderId="16" xfId="0" applyNumberFormat="1" applyFont="1" applyBorder="1" applyAlignment="1">
      <alignment vertical="center" shrinkToFit="1"/>
    </xf>
    <xf numFmtId="3" fontId="4" fillId="0" borderId="17" xfId="0" applyNumberFormat="1" applyFont="1" applyBorder="1" applyAlignment="1">
      <alignment vertical="center" shrinkToFit="1"/>
    </xf>
    <xf numFmtId="177" fontId="4" fillId="0" borderId="23" xfId="0" applyNumberFormat="1" applyFont="1" applyBorder="1" applyAlignment="1">
      <alignment horizontal="center" vertical="center"/>
    </xf>
    <xf numFmtId="3" fontId="4" fillId="0" borderId="31" xfId="0" applyNumberFormat="1" applyFont="1" applyBorder="1" applyAlignment="1">
      <alignment vertical="center"/>
    </xf>
    <xf numFmtId="3" fontId="4" fillId="0" borderId="15" xfId="0" applyNumberFormat="1" applyFont="1" applyBorder="1" applyAlignment="1">
      <alignment vertical="center"/>
    </xf>
    <xf numFmtId="177" fontId="4" fillId="0" borderId="50" xfId="0" applyNumberFormat="1" applyFont="1" applyBorder="1" applyAlignment="1">
      <alignment vertical="center"/>
    </xf>
    <xf numFmtId="176" fontId="4" fillId="0" borderId="39" xfId="0" applyNumberFormat="1" applyFont="1" applyBorder="1" applyAlignment="1">
      <alignment horizontal="right" vertical="center"/>
    </xf>
    <xf numFmtId="38" fontId="4" fillId="0" borderId="0" xfId="2" applyFont="1" applyAlignment="1">
      <alignment vertical="center"/>
    </xf>
    <xf numFmtId="0" fontId="4" fillId="0" borderId="0" xfId="0" applyFont="1" applyBorder="1" applyAlignment="1">
      <alignment horizontal="center" vertical="center"/>
    </xf>
    <xf numFmtId="0" fontId="4" fillId="0" borderId="0" xfId="0" applyFont="1" applyBorder="1" applyAlignment="1">
      <alignment horizontal="center" vertical="center" shrinkToFit="1"/>
    </xf>
    <xf numFmtId="176" fontId="4" fillId="0" borderId="0" xfId="2" applyNumberFormat="1" applyFont="1" applyBorder="1" applyAlignment="1">
      <alignment vertical="center"/>
    </xf>
    <xf numFmtId="177" fontId="4" fillId="0" borderId="0" xfId="1" applyNumberFormat="1" applyFont="1" applyBorder="1" applyAlignment="1">
      <alignment vertical="center"/>
    </xf>
    <xf numFmtId="177" fontId="4" fillId="0" borderId="20" xfId="0" applyNumberFormat="1" applyFont="1" applyBorder="1" applyAlignment="1">
      <alignment vertical="center"/>
    </xf>
    <xf numFmtId="177" fontId="4" fillId="0" borderId="29" xfId="0" applyNumberFormat="1" applyFont="1" applyBorder="1" applyAlignment="1">
      <alignment vertical="center"/>
    </xf>
    <xf numFmtId="0" fontId="6" fillId="0" borderId="0" xfId="0" applyFont="1" applyAlignment="1">
      <alignment vertical="center"/>
    </xf>
    <xf numFmtId="176" fontId="4" fillId="0" borderId="39" xfId="2" applyNumberFormat="1" applyFont="1" applyBorder="1" applyAlignment="1">
      <alignment vertical="center"/>
    </xf>
    <xf numFmtId="3" fontId="4" fillId="0" borderId="16" xfId="0" applyNumberFormat="1" applyFont="1" applyBorder="1" applyAlignment="1">
      <alignment vertical="center"/>
    </xf>
    <xf numFmtId="176" fontId="4" fillId="0" borderId="22" xfId="2" applyNumberFormat="1" applyFont="1" applyBorder="1" applyAlignment="1">
      <alignment horizontal="right" vertical="center"/>
    </xf>
    <xf numFmtId="177" fontId="4" fillId="0" borderId="8" xfId="0" applyNumberFormat="1" applyFont="1" applyBorder="1" applyAlignment="1">
      <alignment horizontal="right" vertical="center"/>
    </xf>
    <xf numFmtId="176" fontId="4" fillId="0" borderId="39" xfId="2" applyNumberFormat="1" applyFont="1" applyBorder="1" applyAlignment="1">
      <alignment horizontal="right" vertical="center"/>
    </xf>
    <xf numFmtId="176" fontId="4" fillId="0" borderId="39" xfId="0" applyNumberFormat="1" applyFont="1" applyBorder="1" applyAlignment="1">
      <alignment vertical="center"/>
    </xf>
    <xf numFmtId="176" fontId="4" fillId="0" borderId="51" xfId="2" applyNumberFormat="1" applyFont="1" applyBorder="1" applyAlignment="1">
      <alignment horizontal="right" vertical="center"/>
    </xf>
    <xf numFmtId="177" fontId="4" fillId="0" borderId="49" xfId="0" applyNumberFormat="1" applyFont="1" applyBorder="1" applyAlignment="1">
      <alignment horizontal="right" vertical="center"/>
    </xf>
    <xf numFmtId="177" fontId="4" fillId="0" borderId="11" xfId="0" applyNumberFormat="1" applyFont="1" applyBorder="1" applyAlignment="1">
      <alignment horizontal="right" vertical="center"/>
    </xf>
    <xf numFmtId="176" fontId="4" fillId="0" borderId="20" xfId="2" applyNumberFormat="1" applyFont="1" applyBorder="1" applyAlignment="1">
      <alignment horizontal="right" vertical="center"/>
    </xf>
    <xf numFmtId="176" fontId="4" fillId="0" borderId="52" xfId="2" applyNumberFormat="1" applyFont="1" applyBorder="1" applyAlignment="1">
      <alignment horizontal="right" vertical="center"/>
    </xf>
    <xf numFmtId="177" fontId="4" fillId="0" borderId="33" xfId="0" applyNumberFormat="1" applyFont="1" applyBorder="1" applyAlignment="1">
      <alignment horizontal="right" vertical="center"/>
    </xf>
    <xf numFmtId="177" fontId="4" fillId="0" borderId="53" xfId="0" applyNumberFormat="1" applyFont="1" applyBorder="1" applyAlignment="1">
      <alignment vertical="center"/>
    </xf>
    <xf numFmtId="177" fontId="4" fillId="0" borderId="54" xfId="0" applyNumberFormat="1" applyFont="1" applyBorder="1" applyAlignment="1">
      <alignment vertical="center"/>
    </xf>
    <xf numFmtId="49" fontId="4" fillId="0" borderId="23" xfId="0" applyNumberFormat="1" applyFont="1" applyBorder="1" applyAlignment="1">
      <alignment horizontal="right" vertical="center"/>
    </xf>
    <xf numFmtId="177" fontId="4" fillId="0" borderId="23" xfId="0" applyNumberFormat="1" applyFont="1" applyBorder="1" applyAlignment="1">
      <alignment horizontal="right" vertical="center"/>
    </xf>
    <xf numFmtId="177" fontId="4" fillId="0" borderId="23" xfId="1" applyNumberFormat="1" applyFont="1" applyBorder="1" applyAlignment="1">
      <alignment horizontal="right" vertical="center"/>
    </xf>
    <xf numFmtId="177" fontId="4" fillId="0" borderId="24" xfId="0" applyNumberFormat="1" applyFont="1" applyBorder="1" applyAlignment="1">
      <alignment horizontal="right" vertical="center"/>
    </xf>
    <xf numFmtId="177" fontId="4" fillId="0" borderId="21" xfId="0" applyNumberFormat="1" applyFont="1" applyBorder="1" applyAlignment="1">
      <alignment horizontal="right" vertical="center"/>
    </xf>
    <xf numFmtId="177" fontId="4" fillId="0" borderId="39" xfId="0" applyNumberFormat="1" applyFont="1" applyBorder="1" applyAlignment="1">
      <alignment horizontal="right" vertical="center"/>
    </xf>
    <xf numFmtId="177" fontId="4" fillId="0" borderId="35" xfId="0" applyNumberFormat="1" applyFont="1" applyBorder="1" applyAlignment="1">
      <alignment horizontal="right" vertical="center"/>
    </xf>
    <xf numFmtId="177" fontId="4" fillId="0" borderId="16" xfId="0" applyNumberFormat="1" applyFont="1" applyBorder="1" applyAlignment="1">
      <alignment horizontal="right" vertical="center"/>
    </xf>
    <xf numFmtId="177" fontId="4" fillId="0" borderId="37" xfId="0" applyNumberFormat="1" applyFont="1" applyBorder="1" applyAlignment="1">
      <alignment horizontal="right" vertical="center"/>
    </xf>
    <xf numFmtId="177" fontId="4" fillId="0" borderId="19" xfId="0" applyNumberFormat="1" applyFont="1" applyBorder="1" applyAlignment="1">
      <alignment horizontal="right" vertical="center"/>
    </xf>
    <xf numFmtId="177" fontId="4" fillId="0" borderId="17" xfId="0" applyNumberFormat="1" applyFont="1" applyBorder="1" applyAlignment="1">
      <alignment horizontal="right" vertical="center"/>
    </xf>
    <xf numFmtId="177" fontId="4" fillId="0" borderId="52" xfId="0" applyNumberFormat="1" applyFont="1" applyBorder="1" applyAlignment="1">
      <alignment vertical="center"/>
    </xf>
    <xf numFmtId="177" fontId="4" fillId="0" borderId="48" xfId="0" applyNumberFormat="1" applyFont="1" applyBorder="1" applyAlignment="1">
      <alignment vertical="center"/>
    </xf>
    <xf numFmtId="177" fontId="4" fillId="0" borderId="52" xfId="0" applyNumberFormat="1" applyFont="1" applyBorder="1" applyAlignment="1">
      <alignment horizontal="centerContinuous" vertical="center"/>
    </xf>
    <xf numFmtId="177" fontId="4" fillId="0" borderId="15" xfId="0" applyNumberFormat="1" applyFont="1" applyBorder="1" applyAlignment="1">
      <alignment horizontal="centerContinuous" vertical="center"/>
    </xf>
    <xf numFmtId="177" fontId="4" fillId="0" borderId="6" xfId="0" applyNumberFormat="1" applyFont="1" applyBorder="1" applyAlignment="1">
      <alignment horizontal="right" vertical="center"/>
    </xf>
    <xf numFmtId="177" fontId="4" fillId="0" borderId="30" xfId="0" applyNumberFormat="1" applyFont="1" applyBorder="1" applyAlignment="1">
      <alignment horizontal="right" vertical="center"/>
    </xf>
    <xf numFmtId="177" fontId="4" fillId="0" borderId="26" xfId="0" applyNumberFormat="1" applyFont="1" applyBorder="1" applyAlignment="1">
      <alignment horizontal="right" vertical="center"/>
    </xf>
    <xf numFmtId="177" fontId="4" fillId="0" borderId="40" xfId="0" applyNumberFormat="1" applyFont="1" applyBorder="1" applyAlignment="1">
      <alignment horizontal="right" vertical="center"/>
    </xf>
    <xf numFmtId="177" fontId="4" fillId="0" borderId="22" xfId="0" applyNumberFormat="1" applyFont="1" applyBorder="1" applyAlignment="1">
      <alignment horizontal="right" vertical="center"/>
    </xf>
    <xf numFmtId="177" fontId="4" fillId="0" borderId="29" xfId="0" applyNumberFormat="1" applyFont="1" applyBorder="1" applyAlignment="1">
      <alignment horizontal="right" vertical="center"/>
    </xf>
    <xf numFmtId="177" fontId="4" fillId="0" borderId="36" xfId="0" applyNumberFormat="1" applyFont="1" applyBorder="1" applyAlignment="1">
      <alignment horizontal="right" vertical="center"/>
    </xf>
    <xf numFmtId="177" fontId="4" fillId="0" borderId="7" xfId="0" applyNumberFormat="1" applyFont="1" applyBorder="1" applyAlignment="1">
      <alignment horizontal="right" vertical="center"/>
    </xf>
    <xf numFmtId="177" fontId="4" fillId="0" borderId="43" xfId="0" applyNumberFormat="1" applyFont="1" applyBorder="1" applyAlignment="1">
      <alignment horizontal="right" vertical="center"/>
    </xf>
    <xf numFmtId="177" fontId="4" fillId="0" borderId="44" xfId="0" applyNumberFormat="1" applyFont="1" applyBorder="1" applyAlignment="1">
      <alignment horizontal="right" vertical="center"/>
    </xf>
    <xf numFmtId="0" fontId="4" fillId="0" borderId="0" xfId="0" applyFont="1" applyFill="1" applyAlignment="1">
      <alignment vertical="center"/>
    </xf>
    <xf numFmtId="0" fontId="4" fillId="0" borderId="24" xfId="0" applyFont="1" applyBorder="1" applyAlignment="1">
      <alignment horizontal="centerContinuous" vertical="center"/>
    </xf>
    <xf numFmtId="0" fontId="4" fillId="0" borderId="24" xfId="0" applyFont="1" applyBorder="1" applyAlignment="1">
      <alignment vertical="center"/>
    </xf>
    <xf numFmtId="0" fontId="4" fillId="0" borderId="1" xfId="0" applyFont="1" applyBorder="1" applyAlignment="1">
      <alignment horizontal="center" vertical="center"/>
    </xf>
    <xf numFmtId="0" fontId="4" fillId="0" borderId="0" xfId="0" applyFont="1" applyAlignment="1">
      <alignment horizontal="left" vertical="center" indent="1"/>
    </xf>
    <xf numFmtId="0" fontId="4" fillId="0" borderId="5" xfId="0" applyFont="1" applyBorder="1" applyAlignment="1">
      <alignment horizontal="center" vertical="center"/>
    </xf>
    <xf numFmtId="0" fontId="4" fillId="0" borderId="27" xfId="0" applyFont="1" applyBorder="1" applyAlignment="1">
      <alignment horizontal="center" vertical="center"/>
    </xf>
    <xf numFmtId="0" fontId="4" fillId="0" borderId="5" xfId="0" applyFont="1" applyBorder="1" applyAlignment="1">
      <alignment horizontal="left" vertical="center" indent="1"/>
    </xf>
    <xf numFmtId="0" fontId="4" fillId="0" borderId="45" xfId="0" applyFont="1" applyBorder="1" applyAlignment="1">
      <alignment vertical="center"/>
    </xf>
    <xf numFmtId="38" fontId="4" fillId="0" borderId="24" xfId="2" applyFont="1" applyBorder="1" applyAlignment="1">
      <alignment horizontal="right" vertical="center"/>
    </xf>
    <xf numFmtId="176" fontId="4" fillId="0" borderId="0" xfId="0" applyNumberFormat="1" applyFont="1" applyAlignment="1">
      <alignment vertical="center"/>
    </xf>
    <xf numFmtId="176" fontId="4" fillId="0" borderId="0" xfId="0" applyNumberFormat="1" applyFont="1" applyAlignment="1">
      <alignment horizontal="right" vertical="center"/>
    </xf>
    <xf numFmtId="176" fontId="4" fillId="0" borderId="53" xfId="0" applyNumberFormat="1" applyFont="1" applyBorder="1" applyAlignment="1">
      <alignment horizontal="center" vertical="center"/>
    </xf>
    <xf numFmtId="176" fontId="4" fillId="0" borderId="3" xfId="0" applyNumberFormat="1" applyFont="1" applyBorder="1" applyAlignment="1">
      <alignment horizontal="center" vertical="center"/>
    </xf>
    <xf numFmtId="176" fontId="4" fillId="0" borderId="49" xfId="0" applyNumberFormat="1" applyFont="1" applyBorder="1" applyAlignment="1">
      <alignment horizontal="center" vertical="center"/>
    </xf>
    <xf numFmtId="176" fontId="4" fillId="0" borderId="56" xfId="0" applyNumberFormat="1" applyFont="1" applyBorder="1" applyAlignment="1">
      <alignment horizontal="center" vertical="center"/>
    </xf>
    <xf numFmtId="176" fontId="7" fillId="0" borderId="56" xfId="0" applyNumberFormat="1" applyFont="1" applyBorder="1" applyAlignment="1">
      <alignment horizontal="center" vertical="center" shrinkToFit="1"/>
    </xf>
    <xf numFmtId="176" fontId="7" fillId="0" borderId="57" xfId="0" applyNumberFormat="1" applyFont="1" applyBorder="1" applyAlignment="1">
      <alignment horizontal="center" vertical="center" shrinkToFit="1"/>
    </xf>
    <xf numFmtId="176" fontId="4" fillId="0" borderId="19" xfId="2" applyNumberFormat="1" applyFont="1" applyBorder="1" applyAlignment="1">
      <alignment vertical="center"/>
    </xf>
    <xf numFmtId="176" fontId="4" fillId="0" borderId="60" xfId="2" applyNumberFormat="1" applyFont="1" applyBorder="1" applyAlignment="1">
      <alignment vertical="center"/>
    </xf>
    <xf numFmtId="176" fontId="4" fillId="0" borderId="61" xfId="2" applyNumberFormat="1" applyFont="1" applyBorder="1" applyAlignment="1">
      <alignment vertical="center"/>
    </xf>
    <xf numFmtId="176" fontId="4" fillId="0" borderId="62" xfId="2" applyNumberFormat="1" applyFont="1" applyBorder="1" applyAlignment="1">
      <alignment vertical="center"/>
    </xf>
    <xf numFmtId="176" fontId="4" fillId="0" borderId="63" xfId="0" applyNumberFormat="1" applyFont="1" applyBorder="1" applyAlignment="1">
      <alignment vertical="center"/>
    </xf>
    <xf numFmtId="0" fontId="0" fillId="0" borderId="52" xfId="0" applyBorder="1" applyAlignment="1">
      <alignment horizontal="center" vertical="center"/>
    </xf>
    <xf numFmtId="0" fontId="4" fillId="0" borderId="4" xfId="0" applyFont="1" applyBorder="1" applyAlignment="1">
      <alignment vertical="center"/>
    </xf>
    <xf numFmtId="0" fontId="4" fillId="0" borderId="34" xfId="0" applyFont="1" applyBorder="1" applyAlignment="1">
      <alignment vertical="center"/>
    </xf>
    <xf numFmtId="176" fontId="4" fillId="0" borderId="64" xfId="0" applyNumberFormat="1" applyFont="1" applyBorder="1" applyAlignment="1">
      <alignment vertical="center"/>
    </xf>
    <xf numFmtId="0" fontId="0" fillId="0" borderId="20" xfId="0" applyBorder="1" applyAlignment="1">
      <alignment horizontal="center" vertical="center"/>
    </xf>
    <xf numFmtId="176" fontId="4" fillId="0" borderId="65" xfId="0" applyNumberFormat="1" applyFont="1" applyBorder="1" applyAlignment="1">
      <alignment vertical="center"/>
    </xf>
    <xf numFmtId="176" fontId="4" fillId="0" borderId="24" xfId="0" applyNumberFormat="1" applyFont="1" applyBorder="1" applyAlignment="1">
      <alignment vertical="center"/>
    </xf>
    <xf numFmtId="176" fontId="4" fillId="0" borderId="23" xfId="0" applyNumberFormat="1" applyFont="1" applyBorder="1" applyAlignment="1">
      <alignment vertical="center"/>
    </xf>
    <xf numFmtId="176" fontId="4" fillId="0" borderId="40" xfId="0" applyNumberFormat="1" applyFont="1" applyBorder="1" applyAlignment="1">
      <alignment vertical="center"/>
    </xf>
    <xf numFmtId="0" fontId="0" fillId="0" borderId="29" xfId="0" applyBorder="1" applyAlignment="1">
      <alignment horizontal="center" vertical="center"/>
    </xf>
    <xf numFmtId="0" fontId="4" fillId="0" borderId="30" xfId="0" applyFont="1" applyBorder="1" applyAlignment="1">
      <alignment vertical="center"/>
    </xf>
    <xf numFmtId="176" fontId="4" fillId="0" borderId="66" xfId="0" applyNumberFormat="1" applyFont="1" applyBorder="1" applyAlignment="1">
      <alignment vertical="center"/>
    </xf>
    <xf numFmtId="176" fontId="4" fillId="0" borderId="16" xfId="0" applyNumberFormat="1" applyFont="1" applyBorder="1" applyAlignment="1">
      <alignment vertical="center"/>
    </xf>
    <xf numFmtId="176" fontId="4" fillId="0" borderId="15" xfId="0" applyNumberFormat="1" applyFont="1" applyBorder="1" applyAlignment="1">
      <alignment vertical="center"/>
    </xf>
    <xf numFmtId="176" fontId="4" fillId="0" borderId="36" xfId="0" applyNumberFormat="1" applyFont="1" applyBorder="1" applyAlignment="1">
      <alignment vertical="center"/>
    </xf>
    <xf numFmtId="176" fontId="4" fillId="0" borderId="0" xfId="0" applyNumberFormat="1" applyFont="1" applyFill="1" applyAlignment="1">
      <alignment horizontal="right" vertical="top"/>
    </xf>
    <xf numFmtId="38" fontId="4" fillId="0" borderId="0" xfId="2" applyFont="1" applyAlignment="1">
      <alignment horizontal="left" vertical="center" indent="1"/>
    </xf>
    <xf numFmtId="0" fontId="9" fillId="0" borderId="0" xfId="0" applyFont="1" applyAlignment="1">
      <alignment vertical="center"/>
    </xf>
    <xf numFmtId="0" fontId="4" fillId="0" borderId="18" xfId="0" applyFont="1" applyBorder="1" applyAlignment="1">
      <alignment horizontal="center" vertical="center"/>
    </xf>
    <xf numFmtId="0" fontId="4" fillId="0" borderId="38" xfId="0" applyFont="1" applyBorder="1" applyAlignment="1">
      <alignment horizontal="center" vertical="center"/>
    </xf>
    <xf numFmtId="0" fontId="4" fillId="0" borderId="33" xfId="0" applyFont="1" applyBorder="1" applyAlignment="1">
      <alignment horizontal="right" vertical="center"/>
    </xf>
    <xf numFmtId="0" fontId="4" fillId="0" borderId="53" xfId="0" applyFont="1" applyBorder="1" applyAlignment="1">
      <alignment horizontal="right" vertical="center"/>
    </xf>
    <xf numFmtId="0" fontId="4" fillId="0" borderId="3" xfId="0" applyFont="1" applyBorder="1" applyAlignment="1">
      <alignment horizontal="right" vertical="center"/>
    </xf>
    <xf numFmtId="0" fontId="4" fillId="0" borderId="49" xfId="0" applyFont="1" applyBorder="1" applyAlignment="1">
      <alignment horizontal="right" vertical="center"/>
    </xf>
    <xf numFmtId="38" fontId="4" fillId="0" borderId="45" xfId="2" applyFont="1" applyBorder="1" applyAlignment="1">
      <alignment vertical="center"/>
    </xf>
    <xf numFmtId="38" fontId="4" fillId="0" borderId="67" xfId="2" applyFont="1" applyBorder="1" applyAlignment="1">
      <alignment vertical="center"/>
    </xf>
    <xf numFmtId="38" fontId="4" fillId="0" borderId="5" xfId="2" applyFont="1" applyBorder="1" applyAlignment="1">
      <alignment vertical="center"/>
    </xf>
    <xf numFmtId="38" fontId="4" fillId="0" borderId="18" xfId="2" applyFont="1" applyBorder="1" applyAlignment="1">
      <alignment vertical="center"/>
    </xf>
    <xf numFmtId="38" fontId="4" fillId="0" borderId="0" xfId="2" applyFont="1" applyFill="1" applyBorder="1" applyAlignment="1">
      <alignment vertical="center"/>
    </xf>
    <xf numFmtId="0" fontId="4" fillId="0" borderId="68" xfId="0" applyFont="1" applyBorder="1" applyAlignment="1">
      <alignment horizontal="left" vertical="center" indent="1"/>
    </xf>
    <xf numFmtId="0" fontId="4" fillId="0" borderId="69" xfId="0" applyFont="1" applyBorder="1" applyAlignment="1">
      <alignment horizontal="left" vertical="center" indent="1"/>
    </xf>
    <xf numFmtId="38" fontId="4" fillId="0" borderId="7" xfId="2" applyFont="1" applyBorder="1" applyAlignment="1">
      <alignment vertical="center"/>
    </xf>
    <xf numFmtId="38" fontId="4" fillId="0" borderId="12" xfId="2" applyFont="1" applyBorder="1" applyAlignment="1">
      <alignment vertical="center"/>
    </xf>
    <xf numFmtId="38" fontId="4" fillId="0" borderId="70" xfId="2" applyFont="1" applyBorder="1" applyAlignment="1">
      <alignment vertical="center"/>
    </xf>
    <xf numFmtId="0" fontId="4" fillId="0" borderId="71" xfId="0" applyFont="1" applyBorder="1" applyAlignment="1">
      <alignment horizontal="left" vertical="center" indent="1"/>
    </xf>
    <xf numFmtId="0" fontId="4" fillId="0" borderId="69" xfId="0" applyFont="1" applyBorder="1" applyAlignment="1">
      <alignment vertical="center"/>
    </xf>
    <xf numFmtId="0" fontId="4" fillId="0" borderId="69" xfId="0" applyFont="1" applyBorder="1" applyAlignment="1">
      <alignment horizontal="center" vertical="center"/>
    </xf>
    <xf numFmtId="0" fontId="4" fillId="0" borderId="73" xfId="0" applyFont="1" applyBorder="1" applyAlignment="1">
      <alignment horizontal="center" vertical="center"/>
    </xf>
    <xf numFmtId="0" fontId="4" fillId="0" borderId="74" xfId="0" applyFont="1" applyBorder="1" applyAlignment="1">
      <alignment horizontal="center" vertical="center"/>
    </xf>
    <xf numFmtId="0" fontId="10" fillId="0" borderId="0" xfId="0" applyFont="1" applyAlignment="1">
      <alignment vertical="top"/>
    </xf>
    <xf numFmtId="38" fontId="4" fillId="0" borderId="0" xfId="2" applyFont="1" applyBorder="1" applyAlignment="1">
      <alignment vertical="center"/>
    </xf>
    <xf numFmtId="178" fontId="4" fillId="0" borderId="0" xfId="1" applyNumberFormat="1" applyFont="1" applyBorder="1" applyAlignment="1">
      <alignment vertical="center"/>
    </xf>
    <xf numFmtId="0" fontId="4" fillId="0" borderId="0" xfId="0" applyFont="1" applyBorder="1" applyAlignment="1">
      <alignment horizontal="left" vertical="center" indent="1"/>
    </xf>
    <xf numFmtId="0" fontId="4" fillId="0" borderId="45" xfId="0" applyFont="1" applyFill="1" applyBorder="1" applyAlignment="1">
      <alignment horizontal="center" vertical="center"/>
    </xf>
    <xf numFmtId="0" fontId="4" fillId="0" borderId="0" xfId="0" applyFont="1" applyFill="1" applyBorder="1" applyAlignment="1">
      <alignment vertical="center"/>
    </xf>
    <xf numFmtId="0" fontId="4" fillId="0" borderId="45" xfId="0" applyFont="1" applyFill="1" applyBorder="1" applyAlignment="1">
      <alignment vertical="center"/>
    </xf>
    <xf numFmtId="0" fontId="4" fillId="0" borderId="20" xfId="0" applyFont="1" applyFill="1" applyBorder="1" applyAlignment="1">
      <alignment vertical="center"/>
    </xf>
    <xf numFmtId="0" fontId="4" fillId="0" borderId="20" xfId="0" applyFont="1" applyFill="1" applyBorder="1" applyAlignment="1">
      <alignment horizontal="center" vertical="center"/>
    </xf>
    <xf numFmtId="0" fontId="4" fillId="0" borderId="52" xfId="0" applyFont="1" applyBorder="1" applyAlignment="1">
      <alignment horizontal="centerContinuous" vertical="center"/>
    </xf>
    <xf numFmtId="0" fontId="7" fillId="0" borderId="0" xfId="3" applyFont="1"/>
    <xf numFmtId="177" fontId="7" fillId="0" borderId="0" xfId="3" applyNumberFormat="1" applyFont="1" applyBorder="1"/>
    <xf numFmtId="0" fontId="7" fillId="0" borderId="0" xfId="3" applyFont="1" applyBorder="1" applyAlignment="1">
      <alignment horizontal="center"/>
    </xf>
    <xf numFmtId="0" fontId="7" fillId="0" borderId="0" xfId="3" applyFont="1" applyBorder="1"/>
    <xf numFmtId="0" fontId="7" fillId="0" borderId="0" xfId="3" applyFont="1" applyAlignment="1">
      <alignment horizontal="right"/>
    </xf>
    <xf numFmtId="0" fontId="7" fillId="0" borderId="76" xfId="3" applyFont="1" applyBorder="1" applyAlignment="1">
      <alignment horizontal="center" vertical="center" shrinkToFit="1"/>
    </xf>
    <xf numFmtId="0" fontId="7" fillId="0" borderId="77" xfId="3" applyFont="1" applyBorder="1" applyAlignment="1">
      <alignment horizontal="center" vertical="center" shrinkToFit="1"/>
    </xf>
    <xf numFmtId="0" fontId="7" fillId="0" borderId="76" xfId="3" applyFont="1" applyBorder="1" applyAlignment="1">
      <alignment horizontal="center" shrinkToFit="1"/>
    </xf>
    <xf numFmtId="0" fontId="7" fillId="0" borderId="0" xfId="3" applyFont="1" applyAlignment="1">
      <alignment shrinkToFit="1"/>
    </xf>
    <xf numFmtId="57" fontId="7" fillId="0" borderId="76" xfId="3" applyNumberFormat="1" applyFont="1" applyBorder="1" applyAlignment="1">
      <alignment horizontal="center"/>
    </xf>
    <xf numFmtId="179" fontId="7" fillId="0" borderId="76" xfId="3" applyNumberFormat="1" applyFont="1" applyBorder="1"/>
    <xf numFmtId="177" fontId="7" fillId="0" borderId="76" xfId="3" applyNumberFormat="1" applyFont="1" applyBorder="1"/>
    <xf numFmtId="180" fontId="7" fillId="0" borderId="76" xfId="3" applyNumberFormat="1" applyFont="1" applyBorder="1"/>
    <xf numFmtId="181" fontId="7" fillId="0" borderId="76" xfId="3" applyNumberFormat="1" applyFont="1" applyBorder="1"/>
    <xf numFmtId="182" fontId="7" fillId="0" borderId="76" xfId="3" applyNumberFormat="1" applyFont="1" applyBorder="1"/>
    <xf numFmtId="0" fontId="7" fillId="0" borderId="76" xfId="3" applyFont="1" applyBorder="1"/>
    <xf numFmtId="57" fontId="7" fillId="0" borderId="76" xfId="3" applyNumberFormat="1" applyFont="1" applyFill="1" applyBorder="1" applyAlignment="1">
      <alignment horizontal="center"/>
    </xf>
    <xf numFmtId="179" fontId="7" fillId="0" borderId="76" xfId="3" applyNumberFormat="1" applyFont="1" applyFill="1" applyBorder="1"/>
    <xf numFmtId="177" fontId="7" fillId="0" borderId="76" xfId="3" applyNumberFormat="1" applyFont="1" applyFill="1" applyBorder="1"/>
    <xf numFmtId="180" fontId="7" fillId="0" borderId="76" xfId="3" applyNumberFormat="1" applyFont="1" applyFill="1" applyBorder="1"/>
    <xf numFmtId="181" fontId="7" fillId="0" borderId="76" xfId="3" applyNumberFormat="1" applyFont="1" applyFill="1" applyBorder="1"/>
    <xf numFmtId="182" fontId="7" fillId="0" borderId="76" xfId="3" applyNumberFormat="1" applyFont="1" applyFill="1" applyBorder="1"/>
    <xf numFmtId="0" fontId="7" fillId="0" borderId="76" xfId="3" applyFont="1" applyFill="1" applyBorder="1"/>
    <xf numFmtId="0" fontId="7" fillId="0" borderId="0" xfId="3" applyFont="1" applyFill="1"/>
    <xf numFmtId="0" fontId="7" fillId="0" borderId="0" xfId="3" applyFont="1" applyFill="1" applyBorder="1"/>
    <xf numFmtId="177" fontId="7" fillId="0" borderId="0" xfId="3" applyNumberFormat="1" applyFont="1" applyFill="1" applyBorder="1"/>
    <xf numFmtId="0" fontId="7" fillId="0" borderId="0" xfId="3" applyFont="1" applyFill="1" applyBorder="1" applyAlignment="1">
      <alignment horizontal="center"/>
    </xf>
    <xf numFmtId="181" fontId="7" fillId="0" borderId="0" xfId="3" applyNumberFormat="1" applyFont="1" applyFill="1" applyBorder="1"/>
    <xf numFmtId="0" fontId="7" fillId="0" borderId="76" xfId="3" applyFont="1" applyFill="1" applyBorder="1" applyAlignment="1">
      <alignment horizontal="center"/>
    </xf>
    <xf numFmtId="0" fontId="7" fillId="0" borderId="78" xfId="3" applyFont="1" applyFill="1" applyBorder="1" applyAlignment="1">
      <alignment horizontal="center"/>
    </xf>
    <xf numFmtId="0" fontId="7" fillId="0" borderId="78" xfId="3" applyFont="1" applyFill="1" applyBorder="1"/>
    <xf numFmtId="0" fontId="7" fillId="0" borderId="79" xfId="3" applyFont="1" applyFill="1" applyBorder="1"/>
    <xf numFmtId="0" fontId="7" fillId="0" borderId="6" xfId="3" applyFont="1" applyFill="1" applyBorder="1"/>
    <xf numFmtId="181" fontId="7" fillId="0" borderId="0" xfId="3" applyNumberFormat="1" applyFont="1" applyBorder="1"/>
    <xf numFmtId="0" fontId="7" fillId="0" borderId="0" xfId="3" applyFont="1" applyBorder="1" applyAlignment="1">
      <alignment horizontal="left"/>
    </xf>
    <xf numFmtId="0" fontId="4" fillId="0" borderId="0" xfId="0" applyFont="1" applyFill="1" applyBorder="1" applyAlignment="1">
      <alignment horizontal="center" vertical="center"/>
    </xf>
    <xf numFmtId="0" fontId="7" fillId="0" borderId="0" xfId="3" applyFont="1" applyBorder="1" applyAlignment="1"/>
    <xf numFmtId="0" fontId="7" fillId="0" borderId="0" xfId="3" applyFont="1" applyBorder="1" applyAlignment="1">
      <alignment horizontal="center" shrinkToFit="1"/>
    </xf>
    <xf numFmtId="182" fontId="7" fillId="0" borderId="0" xfId="3" applyNumberFormat="1" applyFont="1" applyBorder="1"/>
    <xf numFmtId="176" fontId="4" fillId="0" borderId="33" xfId="0" applyNumberFormat="1" applyFont="1" applyBorder="1" applyAlignment="1">
      <alignment horizontal="center" vertical="center"/>
    </xf>
    <xf numFmtId="176" fontId="7" fillId="0" borderId="70" xfId="0" applyNumberFormat="1" applyFont="1" applyBorder="1" applyAlignment="1">
      <alignment horizontal="center" vertical="center" shrinkToFit="1"/>
    </xf>
    <xf numFmtId="176" fontId="4" fillId="0" borderId="62" xfId="0" applyNumberFormat="1" applyFont="1" applyBorder="1" applyAlignment="1">
      <alignment vertical="center"/>
    </xf>
    <xf numFmtId="0" fontId="4" fillId="0" borderId="72" xfId="0" applyFont="1" applyBorder="1" applyAlignment="1">
      <alignment horizontal="left" vertical="center" indent="1"/>
    </xf>
    <xf numFmtId="0" fontId="4" fillId="0" borderId="68" xfId="0" applyFont="1" applyBorder="1" applyAlignment="1">
      <alignment vertical="center"/>
    </xf>
    <xf numFmtId="0" fontId="0" fillId="0" borderId="0" xfId="0" applyAlignment="1">
      <alignment vertical="center"/>
    </xf>
    <xf numFmtId="176" fontId="4" fillId="0" borderId="0" xfId="2" applyNumberFormat="1" applyFont="1" applyBorder="1" applyAlignment="1">
      <alignment horizontal="right" vertical="center"/>
    </xf>
    <xf numFmtId="177" fontId="4" fillId="0" borderId="0" xfId="1" applyNumberFormat="1" applyFont="1" applyBorder="1" applyAlignment="1">
      <alignment horizontal="right" vertical="center"/>
    </xf>
    <xf numFmtId="49" fontId="4" fillId="0" borderId="0" xfId="0" applyNumberFormat="1" applyFont="1" applyBorder="1" applyAlignment="1">
      <alignment horizontal="right" vertical="center"/>
    </xf>
    <xf numFmtId="176" fontId="4" fillId="0" borderId="29" xfId="0" applyNumberFormat="1" applyFont="1" applyBorder="1" applyAlignment="1">
      <alignment vertical="center"/>
    </xf>
    <xf numFmtId="177" fontId="4" fillId="0" borderId="3" xfId="0" applyNumberFormat="1" applyFont="1" applyBorder="1" applyAlignment="1">
      <alignment vertical="center"/>
    </xf>
    <xf numFmtId="0" fontId="4" fillId="0" borderId="57" xfId="0" applyFont="1" applyBorder="1" applyAlignment="1">
      <alignment horizontal="center" vertical="center"/>
    </xf>
    <xf numFmtId="0" fontId="4" fillId="0" borderId="70" xfId="0" applyFont="1" applyBorder="1" applyAlignment="1">
      <alignment horizontal="center" vertical="center"/>
    </xf>
    <xf numFmtId="0" fontId="4" fillId="0" borderId="18" xfId="0" applyFont="1" applyBorder="1" applyAlignment="1">
      <alignment horizontal="centerContinuous" vertical="center"/>
    </xf>
    <xf numFmtId="0" fontId="4" fillId="0" borderId="67" xfId="0" applyFont="1" applyBorder="1" applyAlignment="1">
      <alignment horizontal="centerContinuous" vertical="center"/>
    </xf>
    <xf numFmtId="0" fontId="4" fillId="0" borderId="46" xfId="0" applyFont="1" applyBorder="1" applyAlignment="1">
      <alignment horizontal="centerContinuous" vertical="center"/>
    </xf>
    <xf numFmtId="0" fontId="4" fillId="0" borderId="47" xfId="0" applyFont="1" applyBorder="1" applyAlignment="1">
      <alignment horizontal="centerContinuous" vertical="center"/>
    </xf>
    <xf numFmtId="177" fontId="4" fillId="0" borderId="53" xfId="0" applyNumberFormat="1" applyFont="1" applyBorder="1" applyAlignment="1">
      <alignment horizontal="right" vertical="center"/>
    </xf>
    <xf numFmtId="177" fontId="4" fillId="0" borderId="27" xfId="0" applyNumberFormat="1" applyFont="1" applyBorder="1" applyAlignment="1">
      <alignment horizontal="right" vertical="center"/>
    </xf>
    <xf numFmtId="177" fontId="4" fillId="0" borderId="8" xfId="0" applyNumberFormat="1" applyFont="1" applyFill="1" applyBorder="1" applyAlignment="1">
      <alignment horizontal="right" vertical="center"/>
    </xf>
    <xf numFmtId="177" fontId="4" fillId="0" borderId="27" xfId="0" applyNumberFormat="1" applyFont="1" applyFill="1" applyBorder="1" applyAlignment="1">
      <alignment vertical="center"/>
    </xf>
    <xf numFmtId="177" fontId="4" fillId="0" borderId="28" xfId="0" applyNumberFormat="1" applyFont="1" applyFill="1" applyBorder="1" applyAlignment="1">
      <alignment vertical="center"/>
    </xf>
    <xf numFmtId="177" fontId="4" fillId="0" borderId="8" xfId="0" applyNumberFormat="1" applyFont="1" applyFill="1" applyBorder="1" applyAlignment="1">
      <alignment vertical="center"/>
    </xf>
    <xf numFmtId="177" fontId="4" fillId="0" borderId="15" xfId="0" applyNumberFormat="1" applyFont="1" applyFill="1" applyBorder="1" applyAlignment="1">
      <alignment vertical="center"/>
    </xf>
    <xf numFmtId="177" fontId="4" fillId="0" borderId="18" xfId="0" applyNumberFormat="1" applyFont="1" applyFill="1" applyBorder="1" applyAlignment="1">
      <alignment horizontal="right" vertical="center"/>
    </xf>
    <xf numFmtId="177" fontId="4" fillId="0" borderId="19" xfId="0" applyNumberFormat="1" applyFont="1" applyFill="1" applyBorder="1" applyAlignment="1">
      <alignment horizontal="right" vertical="center"/>
    </xf>
    <xf numFmtId="177" fontId="4" fillId="0" borderId="10" xfId="0" applyNumberFormat="1" applyFont="1" applyFill="1" applyBorder="1" applyAlignment="1">
      <alignment horizontal="right" vertical="center"/>
    </xf>
    <xf numFmtId="177" fontId="4" fillId="0" borderId="23" xfId="0" applyNumberFormat="1" applyFont="1" applyFill="1" applyBorder="1" applyAlignment="1">
      <alignment horizontal="right" vertical="center"/>
    </xf>
    <xf numFmtId="177" fontId="4" fillId="0" borderId="23" xfId="1" applyNumberFormat="1" applyFont="1" applyFill="1" applyBorder="1" applyAlignment="1">
      <alignment horizontal="right" vertical="center"/>
    </xf>
    <xf numFmtId="177" fontId="4" fillId="0" borderId="24" xfId="0" applyNumberFormat="1" applyFont="1" applyFill="1" applyBorder="1" applyAlignment="1">
      <alignment horizontal="right" vertical="center"/>
    </xf>
    <xf numFmtId="177" fontId="4" fillId="0" borderId="25" xfId="0" applyNumberFormat="1" applyFont="1" applyFill="1" applyBorder="1" applyAlignment="1">
      <alignment horizontal="right" vertical="center"/>
    </xf>
    <xf numFmtId="177" fontId="4" fillId="0" borderId="27" xfId="0" applyNumberFormat="1" applyFont="1" applyFill="1" applyBorder="1" applyAlignment="1">
      <alignment horizontal="right" vertical="center"/>
    </xf>
    <xf numFmtId="177" fontId="4" fillId="0" borderId="28" xfId="0" applyNumberFormat="1" applyFont="1" applyFill="1" applyBorder="1" applyAlignment="1">
      <alignment horizontal="right" vertical="center"/>
    </xf>
    <xf numFmtId="0" fontId="4" fillId="0" borderId="20" xfId="2" applyNumberFormat="1" applyFont="1" applyBorder="1" applyAlignment="1">
      <alignment horizontal="right" vertical="center"/>
    </xf>
    <xf numFmtId="177" fontId="4" fillId="0" borderId="15" xfId="0" applyNumberFormat="1" applyFont="1" applyBorder="1" applyAlignment="1">
      <alignment horizontal="right" vertical="center"/>
    </xf>
    <xf numFmtId="176" fontId="4" fillId="0" borderId="16" xfId="2" applyNumberFormat="1" applyFont="1" applyBorder="1" applyAlignment="1">
      <alignment vertical="center"/>
    </xf>
    <xf numFmtId="177" fontId="4" fillId="0" borderId="51" xfId="0" applyNumberFormat="1" applyFont="1" applyBorder="1" applyAlignment="1">
      <alignment horizontal="right" vertical="center"/>
    </xf>
    <xf numFmtId="177" fontId="4" fillId="0" borderId="2" xfId="0" applyNumberFormat="1" applyFont="1" applyBorder="1" applyAlignment="1">
      <alignment horizontal="right" vertical="center"/>
    </xf>
    <xf numFmtId="177" fontId="4" fillId="0" borderId="34" xfId="0" applyNumberFormat="1" applyFont="1" applyBorder="1" applyAlignment="1">
      <alignment vertical="center"/>
    </xf>
    <xf numFmtId="177" fontId="4" fillId="0" borderId="15" xfId="0" applyNumberFormat="1" applyFont="1" applyBorder="1" applyAlignment="1">
      <alignment horizontal="center" vertical="center"/>
    </xf>
    <xf numFmtId="177" fontId="4" fillId="0" borderId="5" xfId="0" applyNumberFormat="1" applyFont="1" applyBorder="1" applyAlignment="1">
      <alignment vertical="center"/>
    </xf>
    <xf numFmtId="38" fontId="4" fillId="0" borderId="39" xfId="2" applyFont="1" applyBorder="1" applyAlignment="1">
      <alignment horizontal="right" vertical="center"/>
    </xf>
    <xf numFmtId="177" fontId="4" fillId="0" borderId="47" xfId="0" applyNumberFormat="1" applyFont="1" applyBorder="1" applyAlignment="1">
      <alignment horizontal="right" vertical="center"/>
    </xf>
    <xf numFmtId="177" fontId="4" fillId="0" borderId="80" xfId="0" applyNumberFormat="1" applyFont="1" applyBorder="1" applyAlignment="1">
      <alignment horizontal="right" vertical="center"/>
    </xf>
    <xf numFmtId="177" fontId="4" fillId="0" borderId="55" xfId="0" applyNumberFormat="1" applyFont="1" applyBorder="1" applyAlignment="1">
      <alignment horizontal="center" vertical="center"/>
    </xf>
    <xf numFmtId="177" fontId="4" fillId="0" borderId="75" xfId="0" applyNumberFormat="1" applyFont="1" applyBorder="1" applyAlignment="1">
      <alignment horizontal="center" vertical="center"/>
    </xf>
    <xf numFmtId="177" fontId="4" fillId="0" borderId="56" xfId="0" applyNumberFormat="1" applyFont="1" applyBorder="1" applyAlignment="1">
      <alignment horizontal="center" vertical="center"/>
    </xf>
    <xf numFmtId="177" fontId="4" fillId="0" borderId="57" xfId="0" applyNumberFormat="1" applyFont="1" applyBorder="1" applyAlignment="1">
      <alignment horizontal="center" vertical="center"/>
    </xf>
    <xf numFmtId="177" fontId="4" fillId="0" borderId="27" xfId="0" applyNumberFormat="1" applyFont="1" applyBorder="1" applyAlignment="1">
      <alignment horizontal="center"/>
    </xf>
    <xf numFmtId="177" fontId="4" fillId="0" borderId="56" xfId="0" applyNumberFormat="1" applyFont="1" applyBorder="1" applyAlignment="1">
      <alignment horizontal="center" vertical="top"/>
    </xf>
    <xf numFmtId="177" fontId="4" fillId="0" borderId="8" xfId="0" applyNumberFormat="1" applyFont="1" applyBorder="1" applyAlignment="1">
      <alignment horizontal="center"/>
    </xf>
    <xf numFmtId="177" fontId="4" fillId="0" borderId="70" xfId="0" applyNumberFormat="1" applyFont="1" applyBorder="1" applyAlignment="1">
      <alignment horizontal="center" vertical="top"/>
    </xf>
    <xf numFmtId="177" fontId="4" fillId="0" borderId="11" xfId="0" applyNumberFormat="1" applyFont="1" applyBorder="1" applyAlignment="1">
      <alignment horizontal="center"/>
    </xf>
    <xf numFmtId="177" fontId="4" fillId="0" borderId="57" xfId="0" applyNumberFormat="1" applyFont="1" applyBorder="1" applyAlignment="1">
      <alignment horizontal="center" vertical="top"/>
    </xf>
    <xf numFmtId="177" fontId="4" fillId="0" borderId="12" xfId="0" applyNumberFormat="1" applyFont="1" applyBorder="1" applyAlignment="1">
      <alignment horizontal="centerContinuous" vertical="center"/>
    </xf>
    <xf numFmtId="177" fontId="4" fillId="0" borderId="14" xfId="0" applyNumberFormat="1" applyFont="1" applyBorder="1" applyAlignment="1">
      <alignment horizontal="centerContinuous" vertical="center"/>
    </xf>
    <xf numFmtId="177" fontId="4" fillId="0" borderId="13" xfId="0" applyNumberFormat="1" applyFont="1" applyBorder="1" applyAlignment="1">
      <alignment horizontal="centerContinuous" vertical="center"/>
    </xf>
    <xf numFmtId="177" fontId="4" fillId="0" borderId="70" xfId="0" applyNumberFormat="1" applyFont="1" applyBorder="1" applyAlignment="1">
      <alignment horizontal="centerContinuous" vertical="center"/>
    </xf>
    <xf numFmtId="177" fontId="4" fillId="0" borderId="32" xfId="0" applyNumberFormat="1" applyFont="1" applyBorder="1" applyAlignment="1">
      <alignment vertical="center"/>
    </xf>
    <xf numFmtId="38" fontId="4" fillId="0" borderId="40" xfId="2" applyFont="1" applyBorder="1" applyAlignment="1">
      <alignment horizontal="right" vertical="center"/>
    </xf>
    <xf numFmtId="177" fontId="4" fillId="0" borderId="50" xfId="0" applyNumberFormat="1" applyFont="1" applyBorder="1" applyAlignment="1">
      <alignment horizontal="right" vertical="center"/>
    </xf>
    <xf numFmtId="0" fontId="4" fillId="0" borderId="0" xfId="0" applyFont="1" applyBorder="1" applyAlignment="1">
      <alignment horizontal="center" vertical="center"/>
    </xf>
    <xf numFmtId="182" fontId="4" fillId="0" borderId="24" xfId="0" applyNumberFormat="1" applyFont="1" applyBorder="1" applyAlignment="1">
      <alignment vertical="center"/>
    </xf>
    <xf numFmtId="183" fontId="4" fillId="0" borderId="24" xfId="0" applyNumberFormat="1" applyFont="1" applyBorder="1" applyAlignment="1">
      <alignment vertical="center"/>
    </xf>
    <xf numFmtId="177" fontId="4" fillId="0" borderId="81" xfId="0" applyNumberFormat="1" applyFont="1" applyBorder="1" applyAlignment="1">
      <alignment horizontal="right" vertical="center"/>
    </xf>
    <xf numFmtId="0" fontId="4" fillId="0" borderId="0" xfId="0" applyFont="1" applyAlignment="1">
      <alignment horizontal="centerContinuous" vertical="center"/>
    </xf>
    <xf numFmtId="0" fontId="4" fillId="0" borderId="14" xfId="0" applyFont="1" applyBorder="1" applyAlignment="1">
      <alignment horizontal="centerContinuous" vertical="center"/>
    </xf>
    <xf numFmtId="177" fontId="4" fillId="0" borderId="51" xfId="0" applyNumberFormat="1" applyFont="1" applyBorder="1" applyAlignment="1">
      <alignment vertical="center"/>
    </xf>
    <xf numFmtId="0" fontId="4" fillId="0" borderId="48" xfId="0" applyFont="1" applyBorder="1" applyAlignment="1">
      <alignment vertical="center"/>
    </xf>
    <xf numFmtId="0" fontId="4" fillId="0" borderId="23" xfId="0" applyFont="1" applyBorder="1" applyAlignment="1">
      <alignment vertical="center"/>
    </xf>
    <xf numFmtId="0" fontId="4" fillId="0" borderId="15" xfId="0" applyFont="1" applyBorder="1" applyAlignment="1">
      <alignment vertical="center"/>
    </xf>
    <xf numFmtId="177" fontId="4" fillId="0" borderId="32" xfId="0" applyNumberFormat="1" applyFont="1" applyBorder="1" applyAlignment="1">
      <alignment horizontal="right" vertical="center"/>
    </xf>
    <xf numFmtId="0" fontId="4" fillId="0" borderId="78" xfId="0" applyFont="1" applyBorder="1" applyAlignment="1">
      <alignment horizontal="centerContinuous" vertical="center"/>
    </xf>
    <xf numFmtId="0" fontId="4" fillId="0" borderId="77" xfId="0" applyFont="1" applyBorder="1" applyAlignment="1">
      <alignment horizontal="centerContinuous" vertical="center"/>
    </xf>
    <xf numFmtId="0" fontId="4" fillId="0" borderId="79" xfId="0" applyFont="1" applyBorder="1" applyAlignment="1">
      <alignment horizontal="centerContinuous" vertical="center"/>
    </xf>
    <xf numFmtId="0" fontId="4" fillId="0" borderId="29" xfId="0" applyFont="1" applyBorder="1" applyAlignment="1">
      <alignment vertical="center"/>
    </xf>
    <xf numFmtId="0" fontId="4" fillId="0" borderId="20" xfId="0" applyFont="1" applyBorder="1" applyAlignment="1">
      <alignment horizontal="right" vertical="center"/>
    </xf>
    <xf numFmtId="0" fontId="4" fillId="0" borderId="29" xfId="0" applyFont="1" applyBorder="1" applyAlignment="1">
      <alignment horizontal="right" vertical="center"/>
    </xf>
    <xf numFmtId="0" fontId="4" fillId="0" borderId="45" xfId="0" applyFont="1" applyBorder="1" applyAlignment="1">
      <alignment horizontal="right" vertical="center"/>
    </xf>
    <xf numFmtId="0" fontId="4" fillId="0" borderId="7" xfId="0" applyFont="1" applyBorder="1" applyAlignment="1">
      <alignment horizontal="right" vertical="center"/>
    </xf>
    <xf numFmtId="0" fontId="4" fillId="0" borderId="5" xfId="0" applyFont="1" applyBorder="1" applyAlignment="1">
      <alignment horizontal="right" vertical="center"/>
    </xf>
    <xf numFmtId="0" fontId="4" fillId="0" borderId="1" xfId="0" applyFont="1" applyBorder="1" applyAlignment="1">
      <alignment horizontal="right" vertical="center"/>
    </xf>
    <xf numFmtId="0" fontId="4" fillId="0" borderId="11" xfId="0" applyFont="1" applyBorder="1" applyAlignment="1">
      <alignment horizontal="center"/>
    </xf>
    <xf numFmtId="0" fontId="4" fillId="0" borderId="57" xfId="0" applyFont="1" applyBorder="1" applyAlignment="1">
      <alignment horizontal="center" vertical="top"/>
    </xf>
    <xf numFmtId="0" fontId="4" fillId="0" borderId="46" xfId="0" applyFont="1" applyBorder="1" applyAlignment="1">
      <alignment vertical="center"/>
    </xf>
    <xf numFmtId="0" fontId="4" fillId="0" borderId="39" xfId="0" applyFont="1" applyBorder="1" applyAlignment="1">
      <alignment vertical="center"/>
    </xf>
    <xf numFmtId="0" fontId="4" fillId="0" borderId="35" xfId="0" applyFont="1" applyBorder="1" applyAlignment="1">
      <alignment vertical="center"/>
    </xf>
    <xf numFmtId="0" fontId="4" fillId="0" borderId="36" xfId="0" applyFont="1" applyBorder="1" applyAlignment="1">
      <alignment vertical="center"/>
    </xf>
    <xf numFmtId="176" fontId="4" fillId="0" borderId="20" xfId="4" applyNumberFormat="1" applyFont="1" applyBorder="1" applyAlignment="1">
      <alignment horizontal="centerContinuous" vertical="center"/>
    </xf>
    <xf numFmtId="177" fontId="4" fillId="0" borderId="81" xfId="0" applyNumberFormat="1" applyFont="1" applyBorder="1" applyAlignment="1">
      <alignment horizontal="center" vertical="center"/>
    </xf>
    <xf numFmtId="0" fontId="4" fillId="0" borderId="21" xfId="0" applyFont="1" applyBorder="1" applyAlignment="1">
      <alignment horizontal="centerContinuous" vertical="center"/>
    </xf>
    <xf numFmtId="0" fontId="4" fillId="0" borderId="74" xfId="0" applyFont="1" applyBorder="1" applyAlignment="1">
      <alignment horizontal="center" vertical="center"/>
    </xf>
    <xf numFmtId="0" fontId="4" fillId="0" borderId="58" xfId="0" applyFont="1" applyBorder="1" applyAlignment="1">
      <alignment horizontal="centerContinuous" vertical="center"/>
    </xf>
    <xf numFmtId="38" fontId="4" fillId="0" borderId="46" xfId="2" applyFont="1" applyBorder="1" applyAlignment="1">
      <alignment vertical="center"/>
    </xf>
    <xf numFmtId="38" fontId="4" fillId="0" borderId="14" xfId="2" applyFont="1" applyBorder="1" applyAlignment="1">
      <alignment vertical="center"/>
    </xf>
    <xf numFmtId="0" fontId="4" fillId="0" borderId="54" xfId="0" applyFont="1" applyBorder="1" applyAlignment="1">
      <alignment horizontal="right" vertical="center"/>
    </xf>
    <xf numFmtId="0" fontId="4" fillId="0" borderId="2" xfId="0" applyFont="1" applyBorder="1" applyAlignment="1">
      <alignment horizontal="right" vertical="center"/>
    </xf>
    <xf numFmtId="0" fontId="4" fillId="0" borderId="14" xfId="0" applyFont="1" applyBorder="1" applyAlignment="1">
      <alignment horizontal="right" vertical="center"/>
    </xf>
    <xf numFmtId="0" fontId="4" fillId="0" borderId="13" xfId="0" applyFont="1" applyBorder="1" applyAlignment="1">
      <alignment horizontal="right" vertical="center"/>
    </xf>
    <xf numFmtId="0" fontId="4" fillId="0" borderId="52" xfId="0" applyFont="1" applyBorder="1" applyAlignment="1">
      <alignment vertical="center"/>
    </xf>
    <xf numFmtId="0" fontId="4" fillId="0" borderId="23" xfId="0" applyFont="1" applyFill="1" applyBorder="1" applyAlignment="1">
      <alignment vertical="center"/>
    </xf>
    <xf numFmtId="3" fontId="4" fillId="0" borderId="48" xfId="0" applyNumberFormat="1" applyFont="1" applyBorder="1" applyAlignment="1">
      <alignment vertical="center"/>
    </xf>
    <xf numFmtId="3" fontId="4" fillId="0" borderId="23" xfId="0" applyNumberFormat="1" applyFont="1" applyFill="1" applyBorder="1" applyAlignment="1">
      <alignment vertical="center"/>
    </xf>
    <xf numFmtId="0" fontId="4" fillId="0" borderId="70" xfId="0" applyFont="1" applyBorder="1" applyAlignment="1">
      <alignment vertical="center"/>
    </xf>
    <xf numFmtId="184" fontId="4" fillId="0" borderId="32" xfId="1" applyNumberFormat="1" applyFont="1" applyBorder="1" applyAlignment="1">
      <alignment vertical="center"/>
    </xf>
    <xf numFmtId="184" fontId="4" fillId="0" borderId="25" xfId="1" applyNumberFormat="1" applyFont="1" applyBorder="1" applyAlignment="1">
      <alignment horizontal="right" vertical="center"/>
    </xf>
    <xf numFmtId="184" fontId="4" fillId="0" borderId="25" xfId="1" applyNumberFormat="1" applyFont="1" applyBorder="1" applyAlignment="1">
      <alignment vertical="center"/>
    </xf>
    <xf numFmtId="184" fontId="4" fillId="0" borderId="25" xfId="2" applyNumberFormat="1" applyFont="1" applyBorder="1" applyAlignment="1">
      <alignment vertical="center"/>
    </xf>
    <xf numFmtId="184" fontId="4" fillId="0" borderId="17" xfId="2" applyNumberFormat="1" applyFont="1" applyBorder="1" applyAlignment="1">
      <alignment vertical="center"/>
    </xf>
    <xf numFmtId="184" fontId="4" fillId="0" borderId="34" xfId="1" applyNumberFormat="1" applyFont="1" applyBorder="1" applyAlignment="1">
      <alignment vertical="center"/>
    </xf>
    <xf numFmtId="184" fontId="4" fillId="0" borderId="21" xfId="1" applyNumberFormat="1" applyFont="1" applyBorder="1" applyAlignment="1">
      <alignment horizontal="right" vertical="center"/>
    </xf>
    <xf numFmtId="184" fontId="4" fillId="0" borderId="21" xfId="1" applyNumberFormat="1" applyFont="1" applyBorder="1" applyAlignment="1">
      <alignment vertical="center"/>
    </xf>
    <xf numFmtId="184" fontId="4" fillId="0" borderId="21" xfId="2" applyNumberFormat="1" applyFont="1" applyBorder="1" applyAlignment="1">
      <alignment vertical="center"/>
    </xf>
    <xf numFmtId="184" fontId="4" fillId="0" borderId="30" xfId="2" applyNumberFormat="1" applyFont="1" applyBorder="1" applyAlignment="1">
      <alignment vertical="center"/>
    </xf>
    <xf numFmtId="38" fontId="4" fillId="0" borderId="18" xfId="2" applyFont="1" applyBorder="1" applyAlignment="1">
      <alignment horizontal="left" vertical="center" indent="1"/>
    </xf>
    <xf numFmtId="176" fontId="4" fillId="0" borderId="47" xfId="2" applyNumberFormat="1" applyFont="1" applyBorder="1" applyAlignment="1">
      <alignment vertical="center"/>
    </xf>
    <xf numFmtId="176" fontId="4" fillId="0" borderId="10" xfId="2" applyNumberFormat="1" applyFont="1" applyBorder="1" applyAlignment="1">
      <alignment vertical="center"/>
    </xf>
    <xf numFmtId="176" fontId="4" fillId="0" borderId="28" xfId="2" applyNumberFormat="1" applyFont="1" applyBorder="1" applyAlignment="1">
      <alignment vertical="center"/>
    </xf>
    <xf numFmtId="176" fontId="4" fillId="0" borderId="75" xfId="2" applyNumberFormat="1" applyFont="1" applyBorder="1" applyAlignment="1">
      <alignment vertical="center"/>
    </xf>
    <xf numFmtId="186" fontId="4" fillId="0" borderId="47" xfId="2" applyNumberFormat="1" applyFont="1" applyBorder="1" applyAlignment="1">
      <alignment vertical="center"/>
    </xf>
    <xf numFmtId="186" fontId="4" fillId="0" borderId="10" xfId="2" applyNumberFormat="1" applyFont="1" applyBorder="1" applyAlignment="1">
      <alignment horizontal="left" vertical="center" indent="1"/>
    </xf>
    <xf numFmtId="186" fontId="4" fillId="0" borderId="10" xfId="2" applyNumberFormat="1" applyFont="1" applyBorder="1" applyAlignment="1">
      <alignment vertical="center"/>
    </xf>
    <xf numFmtId="186" fontId="4" fillId="0" borderId="75" xfId="2" applyNumberFormat="1" applyFont="1" applyBorder="1" applyAlignment="1">
      <alignment vertical="center"/>
    </xf>
    <xf numFmtId="186" fontId="4" fillId="0" borderId="80" xfId="2" applyNumberFormat="1" applyFont="1" applyBorder="1" applyAlignment="1">
      <alignment vertical="center"/>
    </xf>
    <xf numFmtId="186" fontId="4" fillId="0" borderId="6" xfId="2" applyNumberFormat="1" applyFont="1" applyBorder="1" applyAlignment="1">
      <alignment horizontal="left" vertical="center" indent="1"/>
    </xf>
    <xf numFmtId="186" fontId="4" fillId="0" borderId="6" xfId="2" applyNumberFormat="1" applyFont="1" applyBorder="1" applyAlignment="1">
      <alignment vertical="center"/>
    </xf>
    <xf numFmtId="186" fontId="4" fillId="0" borderId="13" xfId="2" applyNumberFormat="1" applyFont="1" applyBorder="1" applyAlignment="1">
      <alignment vertical="center"/>
    </xf>
    <xf numFmtId="184" fontId="4" fillId="0" borderId="67" xfId="1" applyNumberFormat="1" applyFont="1" applyBorder="1" applyAlignment="1">
      <alignment vertical="center"/>
    </xf>
    <xf numFmtId="184" fontId="4" fillId="0" borderId="18" xfId="0" applyNumberFormat="1" applyFont="1" applyBorder="1" applyAlignment="1">
      <alignment horizontal="left" vertical="center" indent="1"/>
    </xf>
    <xf numFmtId="184" fontId="4" fillId="0" borderId="70" xfId="1" applyNumberFormat="1" applyFont="1" applyBorder="1" applyAlignment="1">
      <alignment vertical="center"/>
    </xf>
    <xf numFmtId="184" fontId="4" fillId="0" borderId="59" xfId="1" applyNumberFormat="1" applyFont="1" applyBorder="1" applyAlignment="1">
      <alignment vertical="center"/>
    </xf>
    <xf numFmtId="184" fontId="4" fillId="0" borderId="56" xfId="1" applyNumberFormat="1" applyFont="1" applyBorder="1" applyAlignment="1">
      <alignment vertical="center"/>
    </xf>
    <xf numFmtId="184" fontId="4" fillId="0" borderId="44" xfId="1" applyNumberFormat="1" applyFont="1" applyBorder="1" applyAlignment="1">
      <alignment vertical="center"/>
    </xf>
    <xf numFmtId="184" fontId="4" fillId="0" borderId="57" xfId="1" applyNumberFormat="1" applyFont="1" applyBorder="1" applyAlignment="1">
      <alignment vertical="center"/>
    </xf>
    <xf numFmtId="176" fontId="4" fillId="0" borderId="32" xfId="2" applyNumberFormat="1" applyFont="1" applyBorder="1" applyAlignment="1">
      <alignment vertical="center"/>
    </xf>
    <xf numFmtId="176" fontId="4" fillId="0" borderId="25" xfId="2" quotePrefix="1" applyNumberFormat="1" applyFont="1" applyBorder="1" applyAlignment="1">
      <alignment horizontal="right" vertical="center"/>
    </xf>
    <xf numFmtId="176" fontId="4" fillId="0" borderId="25" xfId="2" applyNumberFormat="1" applyFont="1" applyBorder="1" applyAlignment="1">
      <alignment vertical="center"/>
    </xf>
    <xf numFmtId="176" fontId="4" fillId="0" borderId="17" xfId="2" applyNumberFormat="1" applyFont="1" applyBorder="1" applyAlignment="1">
      <alignment vertical="center"/>
    </xf>
    <xf numFmtId="176" fontId="4" fillId="0" borderId="32" xfId="1" applyNumberFormat="1" applyFont="1" applyBorder="1" applyAlignment="1">
      <alignment vertical="center"/>
    </xf>
    <xf numFmtId="176" fontId="4" fillId="0" borderId="25" xfId="1" applyNumberFormat="1" applyFont="1" applyBorder="1" applyAlignment="1">
      <alignment horizontal="right" vertical="center"/>
    </xf>
    <xf numFmtId="176" fontId="4" fillId="0" borderId="25" xfId="1" applyNumberFormat="1" applyFont="1" applyBorder="1" applyAlignment="1">
      <alignment vertical="center"/>
    </xf>
    <xf numFmtId="0" fontId="7" fillId="0" borderId="78" xfId="3" applyFont="1" applyFill="1" applyBorder="1" applyAlignment="1">
      <alignment horizontal="center"/>
    </xf>
    <xf numFmtId="0" fontId="0" fillId="0" borderId="20" xfId="0" applyFont="1" applyBorder="1" applyAlignment="1">
      <alignment horizontal="center" vertical="center"/>
    </xf>
    <xf numFmtId="0" fontId="0" fillId="0" borderId="29" xfId="0" applyFont="1" applyBorder="1" applyAlignment="1">
      <alignment horizontal="center" vertical="center"/>
    </xf>
    <xf numFmtId="177" fontId="7" fillId="0" borderId="50" xfId="0" applyNumberFormat="1" applyFont="1" applyBorder="1" applyAlignment="1">
      <alignment horizontal="right"/>
    </xf>
    <xf numFmtId="177" fontId="7" fillId="0" borderId="53" xfId="0" applyNumberFormat="1" applyFont="1" applyBorder="1" applyAlignment="1">
      <alignment horizontal="right"/>
    </xf>
    <xf numFmtId="177" fontId="7" fillId="0" borderId="32" xfId="0" applyNumberFormat="1" applyFont="1" applyBorder="1" applyAlignment="1">
      <alignment horizontal="right"/>
    </xf>
    <xf numFmtId="177" fontId="7" fillId="0" borderId="50" xfId="0" applyNumberFormat="1" applyFont="1" applyBorder="1" applyAlignment="1"/>
    <xf numFmtId="0" fontId="4" fillId="0" borderId="0" xfId="0" applyFont="1" applyBorder="1" applyAlignment="1">
      <alignment horizontal="left" vertical="center"/>
    </xf>
    <xf numFmtId="38" fontId="7" fillId="0" borderId="76" xfId="2" applyFont="1" applyFill="1" applyBorder="1"/>
    <xf numFmtId="38" fontId="7" fillId="0" borderId="78" xfId="2" applyFont="1" applyFill="1" applyBorder="1"/>
    <xf numFmtId="0" fontId="4" fillId="0" borderId="0" xfId="0" applyFont="1" applyAlignment="1">
      <alignment horizontal="left" vertical="center"/>
    </xf>
    <xf numFmtId="177" fontId="4" fillId="0" borderId="20" xfId="0" applyNumberFormat="1" applyFont="1" applyBorder="1" applyAlignment="1">
      <alignment horizontal="right" vertical="center"/>
    </xf>
    <xf numFmtId="177" fontId="4" fillId="0" borderId="46" xfId="0" applyNumberFormat="1" applyFont="1" applyBorder="1" applyAlignment="1">
      <alignment horizontal="right" vertical="center"/>
    </xf>
    <xf numFmtId="176" fontId="4" fillId="0" borderId="50" xfId="0" applyNumberFormat="1" applyFont="1" applyBorder="1" applyAlignment="1">
      <alignment vertical="center"/>
    </xf>
    <xf numFmtId="176" fontId="4" fillId="0" borderId="41" xfId="0" applyNumberFormat="1" applyFont="1" applyBorder="1" applyAlignment="1">
      <alignment vertical="center"/>
    </xf>
    <xf numFmtId="0" fontId="4" fillId="0" borderId="0" xfId="0" applyFont="1" applyAlignment="1">
      <alignment vertical="top"/>
    </xf>
    <xf numFmtId="187" fontId="4" fillId="0" borderId="21" xfId="2" applyNumberFormat="1" applyFont="1" applyBorder="1" applyAlignment="1">
      <alignment vertical="center"/>
    </xf>
    <xf numFmtId="187" fontId="4" fillId="0" borderId="25" xfId="2" applyNumberFormat="1" applyFont="1" applyBorder="1" applyAlignment="1">
      <alignment vertical="center"/>
    </xf>
    <xf numFmtId="176" fontId="4" fillId="0" borderId="21" xfId="1" applyNumberFormat="1" applyFont="1" applyBorder="1" applyAlignment="1">
      <alignment horizontal="right" vertical="center"/>
    </xf>
    <xf numFmtId="186" fontId="4" fillId="0" borderId="14" xfId="2" applyNumberFormat="1" applyFont="1" applyBorder="1" applyAlignment="1">
      <alignment vertical="center"/>
    </xf>
    <xf numFmtId="176" fontId="4" fillId="0" borderId="91" xfId="2" applyNumberFormat="1" applyFont="1" applyBorder="1" applyAlignment="1">
      <alignment vertical="center"/>
    </xf>
    <xf numFmtId="176" fontId="4" fillId="0" borderId="92" xfId="0" applyNumberFormat="1" applyFont="1" applyBorder="1" applyAlignment="1">
      <alignment vertical="center"/>
    </xf>
    <xf numFmtId="176" fontId="4" fillId="0" borderId="93" xfId="0" applyNumberFormat="1" applyFont="1" applyBorder="1" applyAlignment="1">
      <alignment vertical="center"/>
    </xf>
    <xf numFmtId="176" fontId="4" fillId="0" borderId="94" xfId="0" applyNumberFormat="1" applyFont="1" applyBorder="1" applyAlignment="1">
      <alignment vertical="center"/>
    </xf>
    <xf numFmtId="184" fontId="4" fillId="0" borderId="48" xfId="1" applyNumberFormat="1" applyFont="1" applyBorder="1" applyAlignment="1">
      <alignment vertical="center"/>
    </xf>
    <xf numFmtId="184" fontId="4" fillId="0" borderId="23" xfId="1" applyNumberFormat="1" applyFont="1" applyBorder="1" applyAlignment="1">
      <alignment vertical="center"/>
    </xf>
    <xf numFmtId="184" fontId="4" fillId="0" borderId="23" xfId="1" applyNumberFormat="1" applyFont="1" applyBorder="1" applyAlignment="1">
      <alignment horizontal="right" vertical="center"/>
    </xf>
    <xf numFmtId="184" fontId="4" fillId="0" borderId="23" xfId="1" applyNumberFormat="1" applyFont="1" applyFill="1" applyBorder="1" applyAlignment="1">
      <alignment vertical="center"/>
    </xf>
    <xf numFmtId="184" fontId="4" fillId="0" borderId="15" xfId="1" applyNumberFormat="1" applyFont="1" applyBorder="1" applyAlignment="1">
      <alignment vertical="center"/>
    </xf>
    <xf numFmtId="176" fontId="4" fillId="0" borderId="37" xfId="2" applyNumberFormat="1" applyFont="1" applyBorder="1" applyAlignment="1">
      <alignment vertical="center"/>
    </xf>
    <xf numFmtId="176" fontId="4" fillId="0" borderId="95" xfId="0" applyNumberFormat="1" applyFont="1" applyBorder="1" applyAlignment="1">
      <alignment vertical="center"/>
    </xf>
    <xf numFmtId="176" fontId="4" fillId="0" borderId="96" xfId="0" applyNumberFormat="1" applyFont="1" applyBorder="1" applyAlignment="1">
      <alignment vertical="center"/>
    </xf>
    <xf numFmtId="176" fontId="4" fillId="0" borderId="97" xfId="0" applyNumberFormat="1" applyFont="1" applyBorder="1" applyAlignment="1">
      <alignment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Fill="1" applyAlignment="1">
      <alignment horizontal="left" vertical="center" wrapText="1"/>
    </xf>
    <xf numFmtId="0" fontId="4" fillId="0" borderId="12" xfId="0" applyFont="1" applyBorder="1" applyAlignment="1">
      <alignment horizontal="center" vertical="center"/>
    </xf>
    <xf numFmtId="0" fontId="4" fillId="0" borderId="14" xfId="0" applyFont="1" applyBorder="1" applyAlignment="1">
      <alignment horizontal="center" vertical="center"/>
    </xf>
    <xf numFmtId="177" fontId="4" fillId="0" borderId="9" xfId="0" applyNumberFormat="1" applyFont="1" applyBorder="1" applyAlignment="1">
      <alignment horizontal="right" vertical="center"/>
    </xf>
    <xf numFmtId="176" fontId="4" fillId="0" borderId="16" xfId="2" applyNumberFormat="1" applyFont="1" applyBorder="1" applyAlignment="1">
      <alignment horizontal="right" vertical="center"/>
    </xf>
    <xf numFmtId="177" fontId="4" fillId="0" borderId="31" xfId="0" applyNumberFormat="1" applyFont="1" applyBorder="1" applyAlignment="1">
      <alignment horizontal="right" vertical="center"/>
    </xf>
    <xf numFmtId="0" fontId="4" fillId="0" borderId="0" xfId="0" applyFont="1" applyFill="1" applyAlignment="1">
      <alignment horizontal="left" vertical="center"/>
    </xf>
    <xf numFmtId="177" fontId="4" fillId="0" borderId="42" xfId="0" applyNumberFormat="1" applyFont="1" applyBorder="1" applyAlignment="1">
      <alignment horizontal="right" vertical="center"/>
    </xf>
    <xf numFmtId="0" fontId="4" fillId="0" borderId="0" xfId="0" applyFont="1" applyBorder="1" applyAlignment="1">
      <alignment horizontal="center" vertical="center"/>
    </xf>
    <xf numFmtId="177" fontId="4" fillId="0" borderId="0" xfId="0" applyNumberFormat="1" applyFont="1" applyBorder="1" applyAlignment="1">
      <alignment horizontal="center" vertical="center"/>
    </xf>
    <xf numFmtId="0" fontId="0" fillId="0" borderId="0" xfId="0" applyFont="1" applyAlignment="1">
      <alignment vertical="center"/>
    </xf>
    <xf numFmtId="176" fontId="4" fillId="0" borderId="91" xfId="0" applyNumberFormat="1" applyFont="1" applyBorder="1" applyAlignment="1">
      <alignment vertical="center"/>
    </xf>
    <xf numFmtId="176" fontId="4" fillId="0" borderId="60" xfId="0" applyNumberFormat="1" applyFont="1" applyBorder="1" applyAlignment="1">
      <alignment vertical="center"/>
    </xf>
    <xf numFmtId="176" fontId="4" fillId="0" borderId="12" xfId="0" applyNumberFormat="1" applyFont="1" applyBorder="1" applyAlignment="1">
      <alignment horizontal="center" vertical="center"/>
    </xf>
    <xf numFmtId="176" fontId="4" fillId="0" borderId="57" xfId="0" applyNumberFormat="1" applyFont="1" applyBorder="1" applyAlignment="1">
      <alignment horizontal="center" vertical="center"/>
    </xf>
    <xf numFmtId="0" fontId="5" fillId="0" borderId="0" xfId="0" applyFont="1" applyBorder="1" applyAlignment="1">
      <alignment horizontal="center" vertical="center"/>
    </xf>
    <xf numFmtId="0" fontId="4" fillId="0" borderId="0" xfId="0" applyFont="1" applyBorder="1" applyAlignment="1">
      <alignment horizontal="center" vertical="center"/>
    </xf>
    <xf numFmtId="176" fontId="4" fillId="0" borderId="5" xfId="4" applyNumberFormat="1" applyFont="1" applyBorder="1" applyAlignment="1">
      <alignment horizontal="centerContinuous" vertical="center"/>
    </xf>
    <xf numFmtId="176" fontId="4" fillId="0" borderId="70" xfId="0" applyNumberFormat="1" applyFont="1" applyBorder="1" applyAlignment="1">
      <alignment horizontal="center" vertical="center"/>
    </xf>
    <xf numFmtId="176" fontId="4" fillId="0" borderId="78" xfId="0" applyNumberFormat="1" applyFont="1" applyBorder="1" applyAlignment="1">
      <alignment vertical="center"/>
    </xf>
    <xf numFmtId="0" fontId="33" fillId="0" borderId="0" xfId="0" applyFont="1" applyAlignment="1">
      <alignment vertical="top"/>
    </xf>
    <xf numFmtId="0" fontId="4" fillId="0" borderId="0" xfId="3" applyFont="1"/>
    <xf numFmtId="177" fontId="4" fillId="0" borderId="0" xfId="3" applyNumberFormat="1" applyFont="1" applyBorder="1"/>
    <xf numFmtId="0" fontId="4" fillId="0" borderId="0" xfId="3" applyFont="1" applyBorder="1" applyAlignment="1">
      <alignment horizontal="center"/>
    </xf>
    <xf numFmtId="0" fontId="4" fillId="0" borderId="0" xfId="3" applyFont="1" applyBorder="1"/>
    <xf numFmtId="0" fontId="4" fillId="0" borderId="0" xfId="3" applyFont="1" applyAlignment="1">
      <alignment horizontal="right"/>
    </xf>
    <xf numFmtId="0" fontId="4" fillId="0" borderId="76" xfId="3" applyFont="1" applyBorder="1" applyAlignment="1">
      <alignment horizontal="center" vertical="center" shrinkToFit="1"/>
    </xf>
    <xf numFmtId="0" fontId="4" fillId="0" borderId="77" xfId="3" applyFont="1" applyBorder="1" applyAlignment="1">
      <alignment horizontal="center" vertical="center" shrinkToFit="1"/>
    </xf>
    <xf numFmtId="0" fontId="4" fillId="0" borderId="76" xfId="3" applyFont="1" applyBorder="1" applyAlignment="1">
      <alignment horizontal="center" shrinkToFit="1"/>
    </xf>
    <xf numFmtId="57" fontId="4" fillId="0" borderId="76" xfId="3" applyNumberFormat="1" applyFont="1" applyBorder="1" applyAlignment="1">
      <alignment horizontal="center"/>
    </xf>
    <xf numFmtId="179" fontId="4" fillId="0" borderId="76" xfId="3" applyNumberFormat="1" applyFont="1" applyBorder="1"/>
    <xf numFmtId="177" fontId="4" fillId="0" borderId="50" xfId="0" applyNumberFormat="1" applyFont="1" applyBorder="1" applyAlignment="1">
      <alignment horizontal="right"/>
    </xf>
    <xf numFmtId="177" fontId="4" fillId="0" borderId="76" xfId="3" applyNumberFormat="1" applyFont="1" applyBorder="1"/>
    <xf numFmtId="180" fontId="4" fillId="0" borderId="76" xfId="3" applyNumberFormat="1" applyFont="1" applyBorder="1"/>
    <xf numFmtId="181" fontId="4" fillId="0" borderId="76" xfId="3" applyNumberFormat="1" applyFont="1" applyBorder="1"/>
    <xf numFmtId="182" fontId="4" fillId="0" borderId="76" xfId="3" applyNumberFormat="1" applyFont="1" applyBorder="1"/>
    <xf numFmtId="0" fontId="4" fillId="0" borderId="76" xfId="3" applyFont="1" applyBorder="1"/>
    <xf numFmtId="177" fontId="4" fillId="0" borderId="53" xfId="0" applyNumberFormat="1" applyFont="1" applyBorder="1" applyAlignment="1">
      <alignment horizontal="right"/>
    </xf>
    <xf numFmtId="0" fontId="5" fillId="0" borderId="20" xfId="0" applyFont="1" applyBorder="1" applyAlignment="1">
      <alignment horizontal="center" vertical="center"/>
    </xf>
    <xf numFmtId="177" fontId="4" fillId="0" borderId="32" xfId="0" applyNumberFormat="1" applyFont="1" applyBorder="1" applyAlignment="1">
      <alignment horizontal="right"/>
    </xf>
    <xf numFmtId="57" fontId="4" fillId="0" borderId="76" xfId="3" applyNumberFormat="1" applyFont="1" applyFill="1" applyBorder="1" applyAlignment="1">
      <alignment horizontal="center"/>
    </xf>
    <xf numFmtId="177" fontId="4" fillId="0" borderId="50" xfId="0" applyNumberFormat="1" applyFont="1" applyBorder="1" applyAlignment="1"/>
    <xf numFmtId="179" fontId="4" fillId="0" borderId="76" xfId="3" applyNumberFormat="1" applyFont="1" applyFill="1" applyBorder="1"/>
    <xf numFmtId="177" fontId="4" fillId="0" borderId="76" xfId="3" applyNumberFormat="1" applyFont="1" applyFill="1" applyBorder="1"/>
    <xf numFmtId="180" fontId="4" fillId="0" borderId="76" xfId="3" applyNumberFormat="1" applyFont="1" applyFill="1" applyBorder="1"/>
    <xf numFmtId="181" fontId="4" fillId="0" borderId="76" xfId="3" applyNumberFormat="1" applyFont="1" applyFill="1" applyBorder="1"/>
    <xf numFmtId="182" fontId="4" fillId="0" borderId="76" xfId="3" applyNumberFormat="1" applyFont="1" applyFill="1" applyBorder="1"/>
    <xf numFmtId="0" fontId="5" fillId="0" borderId="29" xfId="0" applyFont="1" applyBorder="1" applyAlignment="1">
      <alignment horizontal="center" vertical="center"/>
    </xf>
    <xf numFmtId="0" fontId="4" fillId="0" borderId="76" xfId="3" applyFont="1" applyFill="1" applyBorder="1" applyAlignment="1">
      <alignment horizontal="center"/>
    </xf>
    <xf numFmtId="0" fontId="4" fillId="0" borderId="76" xfId="3" applyFont="1" applyFill="1" applyBorder="1"/>
    <xf numFmtId="0" fontId="4" fillId="0" borderId="0" xfId="3" applyFont="1" applyAlignment="1">
      <alignment shrinkToFit="1"/>
    </xf>
    <xf numFmtId="0" fontId="4" fillId="0" borderId="0" xfId="3" applyFont="1" applyFill="1"/>
    <xf numFmtId="0" fontId="4" fillId="0" borderId="0" xfId="3" applyFont="1" applyFill="1" applyBorder="1"/>
    <xf numFmtId="177" fontId="4" fillId="0" borderId="0" xfId="3" applyNumberFormat="1" applyFont="1" applyFill="1" applyBorder="1"/>
    <xf numFmtId="0" fontId="4" fillId="0" borderId="0" xfId="3" applyFont="1" applyFill="1" applyBorder="1" applyAlignment="1">
      <alignment horizontal="center"/>
    </xf>
    <xf numFmtId="181" fontId="4" fillId="0" borderId="0" xfId="3" applyNumberFormat="1" applyFont="1" applyFill="1" applyBorder="1"/>
    <xf numFmtId="0" fontId="4" fillId="0" borderId="0" xfId="3" applyFont="1" applyBorder="1" applyAlignment="1">
      <alignment horizontal="center" shrinkToFit="1"/>
    </xf>
    <xf numFmtId="0" fontId="4" fillId="0" borderId="0" xfId="3" applyFont="1" applyFill="1" applyAlignment="1"/>
    <xf numFmtId="0" fontId="4" fillId="0" borderId="78" xfId="3" applyFont="1" applyFill="1" applyBorder="1" applyAlignment="1">
      <alignment horizontal="center"/>
    </xf>
    <xf numFmtId="182" fontId="4" fillId="0" borderId="0" xfId="3" applyNumberFormat="1" applyFont="1" applyBorder="1"/>
    <xf numFmtId="0" fontId="4" fillId="0" borderId="78" xfId="3" applyFont="1" applyFill="1" applyBorder="1"/>
    <xf numFmtId="0" fontId="4" fillId="0" borderId="79" xfId="3" applyFont="1" applyFill="1" applyBorder="1"/>
    <xf numFmtId="0" fontId="4" fillId="0" borderId="6" xfId="3" applyFont="1" applyFill="1" applyBorder="1"/>
    <xf numFmtId="38" fontId="4" fillId="0" borderId="76" xfId="2" applyFont="1" applyFill="1" applyBorder="1"/>
    <xf numFmtId="38" fontId="4" fillId="0" borderId="78" xfId="2" applyFont="1" applyFill="1" applyBorder="1"/>
    <xf numFmtId="0" fontId="4" fillId="0" borderId="0" xfId="3" applyFont="1" applyBorder="1" applyAlignment="1">
      <alignment horizontal="left"/>
    </xf>
    <xf numFmtId="181" fontId="4" fillId="0" borderId="0" xfId="3" applyNumberFormat="1" applyFont="1" applyBorder="1"/>
    <xf numFmtId="0" fontId="4" fillId="0" borderId="0" xfId="3" applyFont="1" applyBorder="1" applyAlignment="1"/>
    <xf numFmtId="0" fontId="35" fillId="0" borderId="0" xfId="0" applyFont="1" applyAlignment="1">
      <alignment vertical="center"/>
    </xf>
    <xf numFmtId="0" fontId="35" fillId="0" borderId="0" xfId="3" applyFont="1"/>
    <xf numFmtId="0" fontId="35" fillId="0" borderId="0" xfId="3" applyFont="1" applyAlignment="1">
      <alignment shrinkToFit="1"/>
    </xf>
    <xf numFmtId="0" fontId="4" fillId="33" borderId="0" xfId="0" applyFont="1" applyFill="1" applyAlignment="1">
      <alignment vertical="center"/>
    </xf>
    <xf numFmtId="0" fontId="4" fillId="33" borderId="0" xfId="3" applyFont="1" applyFill="1"/>
    <xf numFmtId="0" fontId="4" fillId="33" borderId="0" xfId="3" applyFont="1" applyFill="1" applyAlignment="1">
      <alignment shrinkToFit="1"/>
    </xf>
    <xf numFmtId="0" fontId="4" fillId="33" borderId="0" xfId="0" applyFont="1" applyFill="1" applyBorder="1" applyAlignment="1">
      <alignment horizontal="center" vertical="center"/>
    </xf>
    <xf numFmtId="184" fontId="4" fillId="0" borderId="8" xfId="1" applyNumberFormat="1" applyFont="1" applyFill="1" applyBorder="1" applyAlignment="1">
      <alignment horizontal="right" vertical="center"/>
    </xf>
    <xf numFmtId="184" fontId="4" fillId="0" borderId="67" xfId="1" applyNumberFormat="1" applyFont="1" applyFill="1" applyBorder="1" applyAlignment="1">
      <alignment horizontal="right" vertical="center"/>
    </xf>
    <xf numFmtId="0" fontId="4" fillId="0" borderId="29" xfId="0" applyFont="1" applyBorder="1" applyAlignment="1">
      <alignment horizontal="center" vertical="center"/>
    </xf>
    <xf numFmtId="0" fontId="4" fillId="0" borderId="12" xfId="0" applyFont="1" applyBorder="1" applyAlignment="1">
      <alignment horizontal="center" vertical="center"/>
    </xf>
    <xf numFmtId="0" fontId="4" fillId="0" borderId="0" xfId="0" applyFont="1" applyBorder="1" applyAlignment="1">
      <alignment horizontal="right" vertical="center"/>
    </xf>
    <xf numFmtId="184" fontId="4" fillId="0" borderId="0" xfId="1" applyNumberFormat="1" applyFont="1" applyBorder="1" applyAlignment="1">
      <alignment vertical="center"/>
    </xf>
    <xf numFmtId="187" fontId="4" fillId="0" borderId="0" xfId="1" applyNumberFormat="1" applyFont="1" applyFill="1" applyBorder="1" applyAlignment="1">
      <alignment vertical="center"/>
    </xf>
    <xf numFmtId="184" fontId="4" fillId="0" borderId="0" xfId="1" applyNumberFormat="1" applyFont="1" applyBorder="1" applyAlignment="1">
      <alignment horizontal="right" vertical="center"/>
    </xf>
    <xf numFmtId="184" fontId="4" fillId="0" borderId="0" xfId="1" applyNumberFormat="1" applyFont="1" applyFill="1" applyBorder="1" applyAlignment="1">
      <alignment vertical="center"/>
    </xf>
    <xf numFmtId="185" fontId="4" fillId="0" borderId="32" xfId="2" applyNumberFormat="1" applyFont="1" applyBorder="1" applyAlignment="1">
      <alignment vertical="center"/>
    </xf>
    <xf numFmtId="185" fontId="4" fillId="0" borderId="25" xfId="2" applyNumberFormat="1" applyFont="1" applyBorder="1" applyAlignment="1">
      <alignment vertical="center"/>
    </xf>
    <xf numFmtId="185" fontId="4" fillId="0" borderId="25" xfId="2" quotePrefix="1" applyNumberFormat="1" applyFont="1" applyBorder="1" applyAlignment="1">
      <alignment horizontal="right" vertical="center"/>
    </xf>
    <xf numFmtId="185" fontId="4" fillId="0" borderId="25" xfId="2" applyNumberFormat="1" applyFont="1" applyFill="1" applyBorder="1" applyAlignment="1">
      <alignment vertical="center"/>
    </xf>
    <xf numFmtId="185" fontId="4" fillId="0" borderId="17" xfId="2" applyNumberFormat="1" applyFont="1" applyBorder="1" applyAlignment="1">
      <alignment vertical="center"/>
    </xf>
    <xf numFmtId="185" fontId="4" fillId="0" borderId="48" xfId="2" applyNumberFormat="1" applyFont="1" applyBorder="1" applyAlignment="1">
      <alignment vertical="center"/>
    </xf>
    <xf numFmtId="185" fontId="4" fillId="0" borderId="23" xfId="2" applyNumberFormat="1" applyFont="1" applyBorder="1" applyAlignment="1">
      <alignment vertical="center"/>
    </xf>
    <xf numFmtId="185" fontId="4" fillId="0" borderId="23" xfId="2" applyNumberFormat="1" applyFont="1" applyBorder="1" applyAlignment="1">
      <alignment horizontal="right" vertical="center"/>
    </xf>
    <xf numFmtId="185" fontId="4" fillId="0" borderId="23" xfId="2" applyNumberFormat="1" applyFont="1" applyFill="1" applyBorder="1" applyAlignment="1">
      <alignment vertical="center"/>
    </xf>
    <xf numFmtId="185" fontId="4" fillId="0" borderId="15" xfId="2" applyNumberFormat="1" applyFont="1" applyBorder="1" applyAlignment="1">
      <alignment vertical="center"/>
    </xf>
    <xf numFmtId="185" fontId="4" fillId="0" borderId="4" xfId="2" applyNumberFormat="1" applyFont="1" applyBorder="1" applyAlignment="1">
      <alignment vertical="center"/>
    </xf>
    <xf numFmtId="185" fontId="4" fillId="0" borderId="22" xfId="2" applyNumberFormat="1" applyFont="1" applyBorder="1" applyAlignment="1">
      <alignment vertical="center"/>
    </xf>
    <xf numFmtId="185" fontId="4" fillId="0" borderId="22" xfId="2" quotePrefix="1" applyNumberFormat="1" applyFont="1" applyBorder="1" applyAlignment="1">
      <alignment horizontal="right" vertical="center"/>
    </xf>
    <xf numFmtId="185" fontId="4" fillId="0" borderId="22" xfId="2" applyNumberFormat="1" applyFont="1" applyFill="1" applyBorder="1" applyAlignment="1">
      <alignment vertical="center"/>
    </xf>
    <xf numFmtId="185" fontId="4" fillId="0" borderId="23" xfId="2" quotePrefix="1" applyNumberFormat="1" applyFont="1" applyBorder="1" applyAlignment="1">
      <alignment horizontal="right" vertical="center"/>
    </xf>
    <xf numFmtId="184" fontId="4" fillId="0" borderId="25" xfId="1" applyNumberFormat="1" applyFont="1" applyFill="1" applyBorder="1" applyAlignment="1">
      <alignment vertical="center"/>
    </xf>
    <xf numFmtId="184" fontId="4" fillId="0" borderId="17" xfId="1" applyNumberFormat="1" applyFont="1" applyBorder="1" applyAlignment="1">
      <alignment vertical="center"/>
    </xf>
    <xf numFmtId="184" fontId="4" fillId="0" borderId="4" xfId="1" applyNumberFormat="1" applyFont="1" applyBorder="1" applyAlignment="1">
      <alignment vertical="center"/>
    </xf>
    <xf numFmtId="184" fontId="4" fillId="0" borderId="22" xfId="1" applyNumberFormat="1" applyFont="1" applyBorder="1" applyAlignment="1">
      <alignment vertical="center"/>
    </xf>
    <xf numFmtId="184" fontId="4" fillId="0" borderId="22" xfId="1" applyNumberFormat="1" applyFont="1" applyBorder="1" applyAlignment="1">
      <alignment horizontal="right" vertical="center"/>
    </xf>
    <xf numFmtId="184" fontId="4" fillId="0" borderId="22" xfId="1" applyNumberFormat="1" applyFont="1" applyFill="1" applyBorder="1" applyAlignment="1">
      <alignment vertical="center"/>
    </xf>
    <xf numFmtId="184" fontId="4" fillId="0" borderId="52" xfId="1" applyNumberFormat="1" applyFont="1" applyBorder="1" applyAlignment="1">
      <alignment vertical="center"/>
    </xf>
    <xf numFmtId="184" fontId="4" fillId="0" borderId="20" xfId="1" applyNumberFormat="1" applyFont="1" applyBorder="1" applyAlignment="1">
      <alignment vertical="center"/>
    </xf>
    <xf numFmtId="184" fontId="4" fillId="0" borderId="20" xfId="1" applyNumberFormat="1" applyFont="1" applyBorder="1" applyAlignment="1">
      <alignment horizontal="right" vertical="center"/>
    </xf>
    <xf numFmtId="184" fontId="4" fillId="0" borderId="20" xfId="1" applyNumberFormat="1" applyFont="1" applyFill="1" applyBorder="1" applyAlignment="1">
      <alignment vertical="center"/>
    </xf>
    <xf numFmtId="184" fontId="4" fillId="0" borderId="21" xfId="1" applyNumberFormat="1" applyFont="1" applyFill="1" applyBorder="1" applyAlignment="1">
      <alignment vertical="center"/>
    </xf>
    <xf numFmtId="184" fontId="4" fillId="0" borderId="26" xfId="1" applyNumberFormat="1" applyFont="1" applyFill="1" applyBorder="1" applyAlignment="1">
      <alignment horizontal="right" vertical="center"/>
    </xf>
    <xf numFmtId="184" fontId="4" fillId="0" borderId="80" xfId="1" applyNumberFormat="1" applyFont="1" applyFill="1" applyBorder="1" applyAlignment="1">
      <alignment horizontal="right" vertical="center"/>
    </xf>
    <xf numFmtId="184" fontId="4" fillId="0" borderId="30" xfId="1" applyNumberFormat="1" applyFont="1" applyBorder="1" applyAlignment="1">
      <alignment vertical="center"/>
    </xf>
    <xf numFmtId="187" fontId="4" fillId="0" borderId="25" xfId="1" applyNumberFormat="1" applyFont="1" applyFill="1" applyBorder="1" applyAlignment="1">
      <alignment vertical="center"/>
    </xf>
    <xf numFmtId="184" fontId="4" fillId="0" borderId="23" xfId="1" applyNumberFormat="1" applyFont="1" applyFill="1" applyBorder="1" applyAlignment="1">
      <alignment horizontal="right" vertical="center"/>
    </xf>
    <xf numFmtId="184" fontId="4" fillId="0" borderId="25" xfId="1" applyNumberFormat="1" applyFont="1" applyFill="1" applyBorder="1" applyAlignment="1">
      <alignment horizontal="right" vertical="center"/>
    </xf>
    <xf numFmtId="184" fontId="4" fillId="0" borderId="21" xfId="1" applyNumberFormat="1" applyFont="1" applyFill="1" applyBorder="1" applyAlignment="1">
      <alignment horizontal="right" vertical="center"/>
    </xf>
    <xf numFmtId="185" fontId="4" fillId="0" borderId="22" xfId="2" applyNumberFormat="1" applyFont="1" applyFill="1" applyBorder="1" applyAlignment="1">
      <alignment horizontal="right" vertical="center"/>
    </xf>
    <xf numFmtId="184" fontId="4" fillId="0" borderId="22" xfId="1" applyNumberFormat="1" applyFont="1" applyFill="1" applyBorder="1" applyAlignment="1">
      <alignment horizontal="right" vertical="center"/>
    </xf>
    <xf numFmtId="184" fontId="4" fillId="0" borderId="20" xfId="1" applyNumberFormat="1" applyFont="1" applyFill="1" applyBorder="1" applyAlignment="1">
      <alignment horizontal="right" vertical="center"/>
    </xf>
    <xf numFmtId="185" fontId="4" fillId="0" borderId="23" xfId="2" applyNumberFormat="1" applyFont="1" applyFill="1" applyBorder="1" applyAlignment="1">
      <alignment horizontal="right" vertical="center"/>
    </xf>
    <xf numFmtId="0" fontId="4" fillId="0" borderId="29" xfId="0" applyFont="1" applyFill="1" applyBorder="1" applyAlignment="1">
      <alignment vertical="center"/>
    </xf>
    <xf numFmtId="185" fontId="4" fillId="0" borderId="31" xfId="2" applyNumberFormat="1" applyFont="1" applyFill="1" applyBorder="1" applyAlignment="1">
      <alignment horizontal="right" vertical="center"/>
    </xf>
    <xf numFmtId="184" fontId="4" fillId="0" borderId="15" xfId="1" applyNumberFormat="1" applyFont="1" applyFill="1" applyBorder="1" applyAlignment="1">
      <alignment horizontal="right" vertical="center"/>
    </xf>
    <xf numFmtId="184" fontId="4" fillId="0" borderId="17" xfId="1" applyNumberFormat="1" applyFont="1" applyFill="1" applyBorder="1" applyAlignment="1">
      <alignment horizontal="right" vertical="center"/>
    </xf>
    <xf numFmtId="184" fontId="4" fillId="0" borderId="31" xfId="1" applyNumberFormat="1" applyFont="1" applyFill="1" applyBorder="1" applyAlignment="1">
      <alignment horizontal="right" vertical="center"/>
    </xf>
    <xf numFmtId="184" fontId="4" fillId="0" borderId="29" xfId="1" applyNumberFormat="1" applyFont="1" applyFill="1" applyBorder="1" applyAlignment="1">
      <alignment horizontal="right" vertical="center"/>
    </xf>
    <xf numFmtId="185" fontId="4" fillId="0" borderId="15" xfId="2" applyNumberFormat="1" applyFont="1" applyFill="1" applyBorder="1" applyAlignment="1">
      <alignment horizontal="right" vertical="center"/>
    </xf>
    <xf numFmtId="184" fontId="4" fillId="0" borderId="30" xfId="1" applyNumberFormat="1" applyFont="1" applyFill="1" applyBorder="1" applyAlignment="1">
      <alignment horizontal="right" vertical="center"/>
    </xf>
    <xf numFmtId="185" fontId="4" fillId="0" borderId="25" xfId="2" applyNumberFormat="1" applyFont="1" applyFill="1" applyBorder="1" applyAlignment="1">
      <alignment horizontal="right" vertical="center"/>
    </xf>
    <xf numFmtId="185" fontId="4" fillId="0" borderId="17" xfId="2" applyNumberFormat="1" applyFont="1" applyFill="1" applyBorder="1" applyAlignment="1">
      <alignment horizontal="right" vertical="center"/>
    </xf>
    <xf numFmtId="188" fontId="4" fillId="0" borderId="32" xfId="1" applyNumberFormat="1" applyFont="1" applyBorder="1" applyAlignment="1">
      <alignment vertical="center"/>
    </xf>
    <xf numFmtId="188" fontId="4" fillId="0" borderId="25" xfId="1" applyNumberFormat="1" applyFont="1" applyBorder="1" applyAlignment="1">
      <alignment vertical="center"/>
    </xf>
    <xf numFmtId="188" fontId="4" fillId="0" borderId="25" xfId="1" applyNumberFormat="1" applyFont="1" applyFill="1" applyBorder="1" applyAlignment="1">
      <alignment vertical="center"/>
    </xf>
    <xf numFmtId="188" fontId="4" fillId="0" borderId="25" xfId="1" applyNumberFormat="1" applyFont="1" applyFill="1" applyBorder="1" applyAlignment="1">
      <alignment horizontal="right" vertical="center"/>
    </xf>
    <xf numFmtId="188" fontId="4" fillId="0" borderId="48" xfId="1" applyNumberFormat="1" applyFont="1" applyBorder="1" applyAlignment="1">
      <alignment vertical="center"/>
    </xf>
    <xf numFmtId="188" fontId="4" fillId="0" borderId="23" xfId="1" applyNumberFormat="1" applyFont="1" applyBorder="1" applyAlignment="1">
      <alignment vertical="center"/>
    </xf>
    <xf numFmtId="188" fontId="4" fillId="0" borderId="23" xfId="1" applyNumberFormat="1" applyFont="1" applyBorder="1" applyAlignment="1">
      <alignment horizontal="right" vertical="center"/>
    </xf>
    <xf numFmtId="188" fontId="4" fillId="0" borderId="23" xfId="1" applyNumberFormat="1" applyFont="1" applyFill="1" applyBorder="1" applyAlignment="1">
      <alignment vertical="center"/>
    </xf>
    <xf numFmtId="188" fontId="4" fillId="0" borderId="23" xfId="1" applyNumberFormat="1" applyFont="1" applyFill="1" applyBorder="1" applyAlignment="1">
      <alignment horizontal="right" vertical="center"/>
    </xf>
    <xf numFmtId="188" fontId="4" fillId="0" borderId="47" xfId="1" applyNumberFormat="1" applyFont="1" applyFill="1" applyBorder="1" applyAlignment="1">
      <alignment horizontal="right" vertical="center"/>
    </xf>
    <xf numFmtId="188" fontId="4" fillId="0" borderId="28" xfId="1" applyNumberFormat="1" applyFont="1" applyFill="1" applyBorder="1" applyAlignment="1">
      <alignment horizontal="right" vertical="center"/>
    </xf>
    <xf numFmtId="187" fontId="4" fillId="0" borderId="21" xfId="1" applyNumberFormat="1" applyFont="1" applyFill="1" applyBorder="1" applyAlignment="1">
      <alignment vertical="center"/>
    </xf>
    <xf numFmtId="0" fontId="4" fillId="0" borderId="74"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2" xfId="0" applyFont="1" applyBorder="1" applyAlignment="1">
      <alignment horizontal="center" vertical="center"/>
    </xf>
    <xf numFmtId="0" fontId="4" fillId="0" borderId="42" xfId="0" applyFont="1" applyBorder="1" applyAlignment="1">
      <alignment horizontal="center" vertical="center"/>
    </xf>
    <xf numFmtId="0" fontId="4" fillId="0" borderId="1" xfId="0" applyFont="1" applyBorder="1" applyAlignment="1">
      <alignment horizontal="left" vertical="center" indent="1"/>
    </xf>
    <xf numFmtId="0" fontId="4" fillId="0" borderId="45" xfId="0" applyFont="1" applyBorder="1" applyAlignment="1">
      <alignment horizontal="left" vertical="center" indent="1"/>
    </xf>
    <xf numFmtId="0" fontId="4" fillId="0" borderId="7" xfId="0" applyFont="1" applyBorder="1" applyAlignment="1">
      <alignment horizontal="left" vertical="center" indent="1"/>
    </xf>
    <xf numFmtId="0" fontId="4" fillId="0" borderId="51" xfId="0" applyFont="1" applyBorder="1" applyAlignment="1">
      <alignment horizontal="centerContinuous" vertical="center"/>
    </xf>
    <xf numFmtId="0" fontId="4" fillId="0" borderId="50" xfId="0" applyFont="1" applyBorder="1" applyAlignment="1">
      <alignment horizontal="centerContinuous" vertical="center"/>
    </xf>
    <xf numFmtId="0" fontId="9" fillId="0" borderId="50" xfId="0" applyFont="1" applyBorder="1" applyAlignment="1">
      <alignment horizontal="centerContinuous" vertical="center"/>
    </xf>
    <xf numFmtId="0" fontId="9" fillId="0" borderId="41" xfId="0" applyFont="1" applyBorder="1" applyAlignment="1">
      <alignment horizontal="centerContinuous" vertical="center"/>
    </xf>
    <xf numFmtId="0" fontId="4" fillId="0" borderId="39" xfId="0" applyFont="1" applyBorder="1" applyAlignment="1">
      <alignment horizontal="centerContinuous" vertical="center"/>
    </xf>
    <xf numFmtId="0" fontId="4" fillId="0" borderId="40" xfId="0" applyFont="1" applyBorder="1" applyAlignment="1">
      <alignment horizontal="centerContinuous" vertical="center"/>
    </xf>
    <xf numFmtId="0" fontId="4" fillId="0" borderId="48" xfId="0" applyFont="1" applyBorder="1" applyAlignment="1">
      <alignment horizontal="centerContinuous" vertical="center"/>
    </xf>
    <xf numFmtId="0" fontId="4" fillId="0" borderId="81" xfId="0" applyFont="1" applyBorder="1" applyAlignment="1">
      <alignment horizontal="right" vertical="center"/>
    </xf>
    <xf numFmtId="185" fontId="4" fillId="0" borderId="42" xfId="2" applyNumberFormat="1" applyFont="1" applyBorder="1" applyAlignment="1">
      <alignment vertical="center"/>
    </xf>
    <xf numFmtId="184" fontId="4" fillId="0" borderId="27" xfId="0" applyNumberFormat="1" applyFont="1" applyBorder="1" applyAlignment="1">
      <alignment horizontal="left" vertical="center" indent="1"/>
    </xf>
    <xf numFmtId="184" fontId="4" fillId="0" borderId="8" xfId="0" applyNumberFormat="1" applyFont="1" applyBorder="1" applyAlignment="1">
      <alignment horizontal="left" vertical="center" indent="1"/>
    </xf>
    <xf numFmtId="185" fontId="4" fillId="0" borderId="42" xfId="2" applyNumberFormat="1" applyFont="1" applyFill="1" applyBorder="1" applyAlignment="1">
      <alignment vertical="center"/>
    </xf>
    <xf numFmtId="185" fontId="4" fillId="0" borderId="43" xfId="2" applyNumberFormat="1" applyFont="1" applyBorder="1" applyAlignment="1">
      <alignment vertical="center"/>
    </xf>
    <xf numFmtId="185" fontId="4" fillId="0" borderId="43" xfId="2" applyNumberFormat="1" applyFont="1" applyFill="1" applyBorder="1" applyAlignment="1">
      <alignment vertical="center"/>
    </xf>
    <xf numFmtId="185" fontId="4" fillId="0" borderId="55" xfId="2" applyNumberFormat="1" applyFont="1" applyBorder="1" applyAlignment="1">
      <alignment vertical="center"/>
    </xf>
    <xf numFmtId="185" fontId="4" fillId="0" borderId="55" xfId="2" applyNumberFormat="1" applyFont="1" applyFill="1" applyBorder="1" applyAlignment="1">
      <alignment vertical="center"/>
    </xf>
    <xf numFmtId="0" fontId="4" fillId="0" borderId="20" xfId="0" applyFont="1" applyBorder="1" applyAlignment="1">
      <alignment horizontal="centerContinuous" vertical="center"/>
    </xf>
    <xf numFmtId="0" fontId="4" fillId="0" borderId="41" xfId="0" applyFont="1" applyBorder="1" applyAlignment="1">
      <alignment horizontal="centerContinuous" vertical="center"/>
    </xf>
    <xf numFmtId="185" fontId="4" fillId="0" borderId="45" xfId="2" applyNumberFormat="1" applyFont="1" applyBorder="1" applyAlignment="1">
      <alignment vertical="center"/>
    </xf>
    <xf numFmtId="185" fontId="4" fillId="0" borderId="5" xfId="2" applyNumberFormat="1" applyFont="1" applyBorder="1" applyAlignment="1">
      <alignment vertical="center"/>
    </xf>
    <xf numFmtId="184" fontId="4" fillId="0" borderId="11" xfId="0" applyNumberFormat="1" applyFont="1" applyBorder="1" applyAlignment="1">
      <alignment horizontal="left" vertical="center" indent="1"/>
    </xf>
    <xf numFmtId="185" fontId="4" fillId="0" borderId="7" xfId="2" applyNumberFormat="1" applyFont="1" applyBorder="1" applyAlignment="1">
      <alignment vertical="center"/>
    </xf>
    <xf numFmtId="185" fontId="4" fillId="0" borderId="12" xfId="2" applyNumberFormat="1" applyFont="1" applyBorder="1" applyAlignment="1">
      <alignment vertical="center"/>
    </xf>
    <xf numFmtId="176" fontId="4" fillId="0" borderId="59" xfId="1" applyNumberFormat="1" applyFont="1" applyBorder="1" applyAlignment="1">
      <alignment vertical="center"/>
    </xf>
    <xf numFmtId="176" fontId="4" fillId="0" borderId="27" xfId="0" applyNumberFormat="1" applyFont="1" applyBorder="1" applyAlignment="1">
      <alignment horizontal="left" vertical="center" indent="1"/>
    </xf>
    <xf numFmtId="188" fontId="4" fillId="0" borderId="56" xfId="1" applyNumberFormat="1" applyFont="1" applyBorder="1" applyAlignment="1">
      <alignment vertical="center"/>
    </xf>
    <xf numFmtId="176" fontId="4" fillId="0" borderId="59" xfId="0" applyNumberFormat="1" applyFont="1" applyBorder="1" applyAlignment="1">
      <alignment vertical="center"/>
    </xf>
    <xf numFmtId="176" fontId="4" fillId="0" borderId="27" xfId="0" applyNumberFormat="1" applyFont="1" applyBorder="1" applyAlignment="1">
      <alignment vertical="center"/>
    </xf>
    <xf numFmtId="176" fontId="4" fillId="0" borderId="56" xfId="2" applyNumberFormat="1" applyFont="1" applyFill="1" applyBorder="1" applyAlignment="1">
      <alignment vertical="center"/>
    </xf>
    <xf numFmtId="184" fontId="4" fillId="0" borderId="44" xfId="0" applyNumberFormat="1" applyFont="1" applyBorder="1" applyAlignment="1">
      <alignment vertical="center"/>
    </xf>
    <xf numFmtId="184" fontId="4" fillId="0" borderId="11" xfId="0" applyNumberFormat="1" applyFont="1" applyBorder="1" applyAlignment="1">
      <alignment vertical="center"/>
    </xf>
    <xf numFmtId="184" fontId="4" fillId="0" borderId="57" xfId="0" applyNumberFormat="1" applyFont="1" applyBorder="1" applyAlignment="1">
      <alignment vertical="center"/>
    </xf>
    <xf numFmtId="176" fontId="4" fillId="0" borderId="56" xfId="1" applyNumberFormat="1" applyFont="1" applyBorder="1" applyAlignment="1">
      <alignment vertical="center"/>
    </xf>
    <xf numFmtId="0" fontId="4" fillId="0" borderId="68" xfId="0" applyFont="1" applyBorder="1" applyAlignment="1">
      <alignment horizontal="left" vertical="center" wrapText="1" indent="1"/>
    </xf>
    <xf numFmtId="0" fontId="0" fillId="0" borderId="69" xfId="0" applyBorder="1" applyAlignment="1">
      <alignment horizontal="left" vertical="center" wrapText="1" indent="1"/>
    </xf>
    <xf numFmtId="0" fontId="4" fillId="0" borderId="1" xfId="0" applyFont="1" applyBorder="1" applyAlignment="1">
      <alignment horizontal="center" vertical="center"/>
    </xf>
    <xf numFmtId="0" fontId="0" fillId="0" borderId="5" xfId="0" applyBorder="1" applyAlignment="1">
      <alignment vertical="center"/>
    </xf>
    <xf numFmtId="0" fontId="0" fillId="0" borderId="12" xfId="0" applyBorder="1" applyAlignment="1">
      <alignment vertical="center"/>
    </xf>
    <xf numFmtId="0" fontId="4" fillId="0" borderId="20" xfId="0" applyFont="1" applyBorder="1" applyAlignment="1">
      <alignment horizontal="center" vertical="center"/>
    </xf>
    <xf numFmtId="0" fontId="4" fillId="0" borderId="22" xfId="0" applyFont="1" applyBorder="1" applyAlignment="1">
      <alignment horizontal="center" vertical="center"/>
    </xf>
    <xf numFmtId="0" fontId="4" fillId="0" borderId="25" xfId="0" applyFont="1" applyBorder="1" applyAlignment="1">
      <alignment horizontal="center" vertical="center"/>
    </xf>
    <xf numFmtId="0" fontId="4" fillId="0" borderId="23" xfId="0" applyFont="1" applyBorder="1" applyAlignment="1">
      <alignment horizontal="center" vertical="center"/>
    </xf>
    <xf numFmtId="0" fontId="4" fillId="0" borderId="21" xfId="0" applyFont="1" applyBorder="1" applyAlignment="1">
      <alignment horizontal="center" vertical="center"/>
    </xf>
    <xf numFmtId="0" fontId="4" fillId="0" borderId="7" xfId="0" applyFont="1" applyBorder="1" applyAlignment="1">
      <alignment horizontal="center" vertical="center"/>
    </xf>
    <xf numFmtId="0" fontId="4" fillId="0" borderId="28" xfId="0" applyFont="1" applyBorder="1" applyAlignment="1">
      <alignment horizontal="center" vertical="center"/>
    </xf>
    <xf numFmtId="0" fontId="4" fillId="0" borderId="8" xfId="0" applyFont="1" applyBorder="1" applyAlignment="1">
      <alignment horizontal="center" vertical="center"/>
    </xf>
    <xf numFmtId="0" fontId="4" fillId="0" borderId="26" xfId="0" applyFont="1" applyBorder="1" applyAlignment="1">
      <alignment horizontal="center" vertical="center"/>
    </xf>
    <xf numFmtId="0" fontId="4" fillId="0" borderId="71" xfId="0" applyFont="1" applyBorder="1" applyAlignment="1">
      <alignment horizontal="center" vertical="center"/>
    </xf>
    <xf numFmtId="0" fontId="0" fillId="0" borderId="72" xfId="0" applyBorder="1" applyAlignment="1">
      <alignment vertical="center"/>
    </xf>
    <xf numFmtId="0" fontId="0" fillId="0" borderId="74" xfId="0" applyBorder="1" applyAlignment="1">
      <alignment vertical="center"/>
    </xf>
    <xf numFmtId="0" fontId="4" fillId="0" borderId="9" xfId="0" applyFont="1" applyBorder="1" applyAlignment="1">
      <alignment horizontal="center" vertical="center"/>
    </xf>
    <xf numFmtId="0" fontId="4" fillId="0" borderId="72" xfId="0" applyFont="1" applyBorder="1" applyAlignment="1">
      <alignment horizontal="center" vertical="center"/>
    </xf>
    <xf numFmtId="0" fontId="4" fillId="0" borderId="74" xfId="0" applyFont="1" applyBorder="1" applyAlignment="1">
      <alignment horizontal="center" vertical="center"/>
    </xf>
    <xf numFmtId="0" fontId="8" fillId="0" borderId="3" xfId="0" applyFont="1" applyBorder="1" applyAlignment="1">
      <alignment horizontal="distributed" vertical="center"/>
    </xf>
    <xf numFmtId="0" fontId="8" fillId="0" borderId="14" xfId="0" applyFont="1" applyBorder="1" applyAlignment="1">
      <alignment horizontal="distributed" vertical="center"/>
    </xf>
    <xf numFmtId="0" fontId="7" fillId="0" borderId="76" xfId="3" applyFont="1" applyBorder="1" applyAlignment="1">
      <alignment horizontal="center"/>
    </xf>
    <xf numFmtId="177" fontId="7" fillId="0" borderId="78" xfId="3" applyNumberFormat="1" applyFont="1" applyBorder="1" applyAlignment="1">
      <alignment horizontal="left"/>
    </xf>
    <xf numFmtId="0" fontId="9" fillId="0" borderId="79" xfId="0" applyFont="1" applyBorder="1" applyAlignment="1"/>
    <xf numFmtId="177" fontId="7" fillId="0" borderId="76" xfId="3" applyNumberFormat="1" applyFont="1" applyBorder="1" applyAlignment="1">
      <alignment horizontal="right"/>
    </xf>
    <xf numFmtId="177" fontId="7" fillId="0" borderId="78" xfId="3" applyNumberFormat="1" applyFont="1" applyBorder="1" applyAlignment="1">
      <alignment horizontal="right"/>
    </xf>
    <xf numFmtId="177" fontId="7" fillId="0" borderId="79" xfId="3" applyNumberFormat="1" applyFont="1" applyBorder="1" applyAlignment="1">
      <alignment horizontal="right"/>
    </xf>
    <xf numFmtId="0" fontId="7" fillId="0" borderId="78" xfId="3" applyFont="1" applyFill="1" applyBorder="1" applyAlignment="1">
      <alignment horizontal="center"/>
    </xf>
    <xf numFmtId="0" fontId="7" fillId="0" borderId="79" xfId="3" applyFont="1" applyFill="1" applyBorder="1" applyAlignment="1">
      <alignment horizontal="center"/>
    </xf>
    <xf numFmtId="177" fontId="7" fillId="0" borderId="78" xfId="3" applyNumberFormat="1" applyFont="1" applyBorder="1" applyAlignment="1">
      <alignment horizontal="center"/>
    </xf>
    <xf numFmtId="177" fontId="7" fillId="0" borderId="79" xfId="3" applyNumberFormat="1" applyFont="1" applyBorder="1" applyAlignment="1">
      <alignment horizontal="center"/>
    </xf>
    <xf numFmtId="0" fontId="7" fillId="0" borderId="78" xfId="3" applyFont="1" applyBorder="1" applyAlignment="1">
      <alignment horizontal="center"/>
    </xf>
    <xf numFmtId="0" fontId="7" fillId="0" borderId="79" xfId="3" applyFont="1" applyBorder="1" applyAlignment="1">
      <alignment horizont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0" fillId="0" borderId="22" xfId="0" applyBorder="1"/>
    <xf numFmtId="0" fontId="0" fillId="0" borderId="25" xfId="0" applyBorder="1"/>
    <xf numFmtId="0" fontId="0" fillId="0" borderId="21" xfId="0" applyBorder="1"/>
    <xf numFmtId="0" fontId="4" fillId="0" borderId="29" xfId="0" applyFont="1" applyBorder="1" applyAlignment="1">
      <alignment horizontal="center" vertical="center"/>
    </xf>
    <xf numFmtId="0" fontId="0" fillId="0" borderId="17" xfId="0" applyBorder="1"/>
    <xf numFmtId="0" fontId="4" fillId="0" borderId="15" xfId="0" applyFont="1" applyBorder="1" applyAlignment="1">
      <alignment horizontal="center" vertical="center"/>
    </xf>
    <xf numFmtId="0" fontId="0" fillId="0" borderId="30" xfId="0" applyBorder="1"/>
    <xf numFmtId="0" fontId="4" fillId="0" borderId="27"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2" xfId="0" applyFont="1" applyBorder="1" applyAlignment="1">
      <alignment horizontal="center" vertical="center"/>
    </xf>
    <xf numFmtId="0" fontId="4" fillId="0" borderId="4" xfId="0" applyFont="1" applyBorder="1" applyAlignment="1">
      <alignment horizontal="center" vertical="center"/>
    </xf>
    <xf numFmtId="0" fontId="4" fillId="0" borderId="34" xfId="0" applyFont="1" applyBorder="1" applyAlignment="1">
      <alignment horizontal="center" vertical="center"/>
    </xf>
    <xf numFmtId="0" fontId="4" fillId="0" borderId="18" xfId="0" applyFont="1" applyBorder="1" applyAlignment="1">
      <alignment horizontal="center" vertical="center" wrapText="1"/>
    </xf>
    <xf numFmtId="0" fontId="4" fillId="0" borderId="70" xfId="0" applyFont="1" applyBorder="1" applyAlignment="1">
      <alignment horizontal="center" vertical="center" wrapText="1"/>
    </xf>
    <xf numFmtId="177" fontId="4" fillId="0" borderId="9" xfId="0" applyNumberFormat="1" applyFont="1" applyBorder="1" applyAlignment="1">
      <alignment horizontal="center" vertical="center"/>
    </xf>
    <xf numFmtId="177" fontId="4" fillId="0" borderId="14" xfId="0" applyNumberFormat="1" applyFont="1" applyBorder="1" applyAlignment="1">
      <alignment horizontal="center" vertical="center"/>
    </xf>
    <xf numFmtId="177" fontId="4" fillId="0" borderId="27" xfId="0" applyNumberFormat="1" applyFont="1" applyBorder="1" applyAlignment="1">
      <alignment horizontal="center" vertical="center"/>
    </xf>
    <xf numFmtId="177" fontId="4" fillId="0" borderId="56" xfId="0" applyNumberFormat="1" applyFont="1" applyBorder="1" applyAlignment="1">
      <alignment horizontal="center" vertical="center"/>
    </xf>
    <xf numFmtId="0" fontId="4" fillId="0" borderId="0" xfId="0" applyFont="1" applyBorder="1" applyAlignment="1">
      <alignment horizontal="center" vertical="center"/>
    </xf>
    <xf numFmtId="177" fontId="4" fillId="0" borderId="0" xfId="0" applyNumberFormat="1" applyFont="1" applyBorder="1" applyAlignment="1">
      <alignment horizontal="center" vertical="center"/>
    </xf>
    <xf numFmtId="0" fontId="5" fillId="0" borderId="3" xfId="0" applyFont="1" applyBorder="1" applyAlignment="1">
      <alignment horizontal="center" vertical="center"/>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2" xfId="0" applyFont="1" applyBorder="1" applyAlignment="1">
      <alignment horizontal="center" vertical="center"/>
    </xf>
    <xf numFmtId="0" fontId="5" fillId="0" borderId="13"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78" xfId="0" applyFont="1" applyBorder="1" applyAlignment="1">
      <alignment horizontal="center" vertical="center"/>
    </xf>
    <xf numFmtId="0" fontId="4" fillId="0" borderId="77" xfId="0" applyFont="1" applyBorder="1" applyAlignment="1">
      <alignment horizontal="center" vertical="center"/>
    </xf>
    <xf numFmtId="0" fontId="4" fillId="0" borderId="79" xfId="0" applyFont="1" applyBorder="1" applyAlignment="1">
      <alignment horizontal="center" vertical="center"/>
    </xf>
    <xf numFmtId="0" fontId="0" fillId="0" borderId="12" xfId="0" applyBorder="1" applyAlignment="1">
      <alignment horizontal="center" vertical="center"/>
    </xf>
    <xf numFmtId="0" fontId="0" fillId="0" borderId="14" xfId="0" applyBorder="1" applyAlignment="1">
      <alignment horizontal="center" vertical="center"/>
    </xf>
    <xf numFmtId="0" fontId="0" fillId="0" borderId="13" xfId="0" applyBorder="1" applyAlignment="1">
      <alignment horizontal="center" vertical="center"/>
    </xf>
    <xf numFmtId="0" fontId="4" fillId="0" borderId="14" xfId="0" applyFont="1" applyBorder="1" applyAlignment="1">
      <alignment horizontal="center" vertical="center"/>
    </xf>
    <xf numFmtId="0" fontId="0" fillId="0" borderId="3" xfId="0" applyBorder="1" applyAlignment="1">
      <alignment horizontal="center" vertical="center"/>
    </xf>
    <xf numFmtId="0" fontId="5" fillId="0" borderId="0" xfId="0" applyFont="1" applyBorder="1" applyAlignment="1">
      <alignment horizontal="center" vertical="center"/>
    </xf>
    <xf numFmtId="0" fontId="0" fillId="0" borderId="0" xfId="0" applyBorder="1" applyAlignment="1">
      <alignment horizontal="center" vertical="center"/>
    </xf>
    <xf numFmtId="0" fontId="4" fillId="0" borderId="42" xfId="0" applyFont="1" applyBorder="1" applyAlignment="1">
      <alignment horizontal="center" vertical="center"/>
    </xf>
    <xf numFmtId="0" fontId="4" fillId="0" borderId="55" xfId="0" applyFont="1" applyBorder="1" applyAlignment="1">
      <alignment horizontal="center" vertical="center"/>
    </xf>
    <xf numFmtId="0" fontId="4" fillId="0" borderId="6" xfId="0" applyFont="1" applyBorder="1" applyAlignment="1">
      <alignment horizontal="center" vertical="center"/>
    </xf>
    <xf numFmtId="0" fontId="0" fillId="0" borderId="55" xfId="0" applyBorder="1" applyAlignment="1">
      <alignment horizontal="center" vertical="center"/>
    </xf>
    <xf numFmtId="177" fontId="4" fillId="0" borderId="78" xfId="3" applyNumberFormat="1" applyFont="1" applyBorder="1" applyAlignment="1">
      <alignment horizontal="right"/>
    </xf>
    <xf numFmtId="177" fontId="4" fillId="0" borderId="79" xfId="3" applyNumberFormat="1" applyFont="1" applyBorder="1" applyAlignment="1">
      <alignment horizontal="right"/>
    </xf>
    <xf numFmtId="0" fontId="4" fillId="0" borderId="78" xfId="3" applyFont="1" applyFill="1" applyBorder="1" applyAlignment="1">
      <alignment horizontal="center"/>
    </xf>
    <xf numFmtId="0" fontId="4" fillId="0" borderId="79" xfId="3" applyFont="1" applyFill="1" applyBorder="1" applyAlignment="1">
      <alignment horizontal="center"/>
    </xf>
    <xf numFmtId="0" fontId="4" fillId="0" borderId="76" xfId="3" applyFont="1" applyBorder="1" applyAlignment="1">
      <alignment horizontal="center"/>
    </xf>
    <xf numFmtId="177" fontId="4" fillId="0" borderId="78" xfId="3" applyNumberFormat="1" applyFont="1" applyBorder="1" applyAlignment="1">
      <alignment horizontal="center"/>
    </xf>
    <xf numFmtId="177" fontId="4" fillId="0" borderId="79" xfId="3" applyNumberFormat="1" applyFont="1" applyBorder="1" applyAlignment="1">
      <alignment horizontal="center"/>
    </xf>
    <xf numFmtId="0" fontId="4" fillId="0" borderId="78" xfId="3" applyFont="1" applyBorder="1" applyAlignment="1">
      <alignment horizontal="center"/>
    </xf>
    <xf numFmtId="0" fontId="4" fillId="0" borderId="79" xfId="3" applyFont="1" applyBorder="1" applyAlignment="1">
      <alignment horizontal="center"/>
    </xf>
    <xf numFmtId="177" fontId="4" fillId="0" borderId="78" xfId="3" applyNumberFormat="1" applyFont="1" applyBorder="1" applyAlignment="1">
      <alignment horizontal="left"/>
    </xf>
    <xf numFmtId="0" fontId="4" fillId="0" borderId="79" xfId="0" applyFont="1" applyBorder="1" applyAlignment="1"/>
    <xf numFmtId="177" fontId="4" fillId="0" borderId="76" xfId="3" applyNumberFormat="1" applyFont="1" applyBorder="1" applyAlignment="1">
      <alignment horizontal="right"/>
    </xf>
  </cellXfs>
  <cellStyles count="58">
    <cellStyle name="20% - アクセント 1 2" xfId="5"/>
    <cellStyle name="20% - アクセント 2 2" xfId="6"/>
    <cellStyle name="20% - アクセント 3 2" xfId="7"/>
    <cellStyle name="20% - アクセント 4 2" xfId="8"/>
    <cellStyle name="20% - アクセント 5 2" xfId="9"/>
    <cellStyle name="20% - アクセント 6 2" xfId="10"/>
    <cellStyle name="40% - アクセント 1 2" xfId="11"/>
    <cellStyle name="40% - アクセント 2 2" xfId="12"/>
    <cellStyle name="40% - アクセント 3 2" xfId="13"/>
    <cellStyle name="40% - アクセント 4 2" xfId="14"/>
    <cellStyle name="40% - アクセント 5 2" xfId="15"/>
    <cellStyle name="40% - アクセント 6 2" xfId="16"/>
    <cellStyle name="60% - アクセント 1 2" xfId="17"/>
    <cellStyle name="60% - アクセント 2 2" xfId="18"/>
    <cellStyle name="60% - アクセント 3 2" xfId="19"/>
    <cellStyle name="60% - アクセント 4 2" xfId="20"/>
    <cellStyle name="60% - アクセント 5 2" xfId="21"/>
    <cellStyle name="60% - アクセント 6 2" xfId="22"/>
    <cellStyle name="アクセント 1 2" xfId="23"/>
    <cellStyle name="アクセント 2 2" xfId="24"/>
    <cellStyle name="アクセント 3 2" xfId="25"/>
    <cellStyle name="アクセント 4 2" xfId="26"/>
    <cellStyle name="アクセント 5 2" xfId="27"/>
    <cellStyle name="アクセント 6 2" xfId="28"/>
    <cellStyle name="たいむず" xfId="29"/>
    <cellStyle name="チェック セル 2" xfId="30"/>
    <cellStyle name="どちらでもない 2" xfId="31"/>
    <cellStyle name="パーセント" xfId="1" builtinId="5"/>
    <cellStyle name="パーセント 2" xfId="32"/>
    <cellStyle name="パーセント 3" xfId="33"/>
    <cellStyle name="パーセント 4" xfId="34"/>
    <cellStyle name="メモ 2" xfId="35"/>
    <cellStyle name="リンク セル 2" xfId="36"/>
    <cellStyle name="悪い 2" xfId="37"/>
    <cellStyle name="計算 2" xfId="38"/>
    <cellStyle name="警告文 2" xfId="39"/>
    <cellStyle name="桁区切り" xfId="2" builtinId="6"/>
    <cellStyle name="桁区切り 2" xfId="40"/>
    <cellStyle name="桁区切り 3" xfId="41"/>
    <cellStyle name="桁区切り 4" xfId="42"/>
    <cellStyle name="見出し 1 2" xfId="43"/>
    <cellStyle name="見出し 2 2" xfId="44"/>
    <cellStyle name="見出し 3 2" xfId="45"/>
    <cellStyle name="見出し 4 2" xfId="46"/>
    <cellStyle name="集計 2" xfId="47"/>
    <cellStyle name="出力 2" xfId="48"/>
    <cellStyle name="説明文 2" xfId="49"/>
    <cellStyle name="入力 2" xfId="50"/>
    <cellStyle name="標準" xfId="0" builtinId="0"/>
    <cellStyle name="標準 2" xfId="3"/>
    <cellStyle name="標準 2 2" xfId="51"/>
    <cellStyle name="標準 2 3" xfId="52"/>
    <cellStyle name="標準 2 4" xfId="53"/>
    <cellStyle name="標準 3" xfId="54"/>
    <cellStyle name="標準 4" xfId="55"/>
    <cellStyle name="標準 5" xfId="56"/>
    <cellStyle name="標準_21(27362）" xfId="4"/>
    <cellStyle name="良い 2" xfId="57"/>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51</xdr:row>
      <xdr:rowOff>0</xdr:rowOff>
    </xdr:from>
    <xdr:to>
      <xdr:col>0</xdr:col>
      <xdr:colOff>0</xdr:colOff>
      <xdr:row>51</xdr:row>
      <xdr:rowOff>0</xdr:rowOff>
    </xdr:to>
    <xdr:sp macro="" textlink="">
      <xdr:nvSpPr>
        <xdr:cNvPr id="7224" name="Line 2"/>
        <xdr:cNvSpPr>
          <a:spLocks noChangeShapeType="1"/>
        </xdr:cNvSpPr>
      </xdr:nvSpPr>
      <xdr:spPr bwMode="auto">
        <a:xfrm flipH="1">
          <a:off x="0" y="17773650"/>
          <a:ext cx="0" cy="0"/>
        </a:xfrm>
        <a:prstGeom prst="line">
          <a:avLst/>
        </a:prstGeom>
        <a:noFill/>
        <a:ln w="6350">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86</xdr:row>
      <xdr:rowOff>0</xdr:rowOff>
    </xdr:from>
    <xdr:to>
      <xdr:col>0</xdr:col>
      <xdr:colOff>0</xdr:colOff>
      <xdr:row>86</xdr:row>
      <xdr:rowOff>0</xdr:rowOff>
    </xdr:to>
    <xdr:sp macro="" textlink="">
      <xdr:nvSpPr>
        <xdr:cNvPr id="2" name="Line 2"/>
        <xdr:cNvSpPr>
          <a:spLocks noChangeShapeType="1"/>
        </xdr:cNvSpPr>
      </xdr:nvSpPr>
      <xdr:spPr bwMode="auto">
        <a:xfrm flipH="1">
          <a:off x="0" y="17773650"/>
          <a:ext cx="0" cy="0"/>
        </a:xfrm>
        <a:prstGeom prst="line">
          <a:avLst/>
        </a:prstGeom>
        <a:noFill/>
        <a:ln w="6350">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0</xdr:colOff>
      <xdr:row>58</xdr:row>
      <xdr:rowOff>0</xdr:rowOff>
    </xdr:from>
    <xdr:to>
      <xdr:col>27</xdr:col>
      <xdr:colOff>0</xdr:colOff>
      <xdr:row>69</xdr:row>
      <xdr:rowOff>0</xdr:rowOff>
    </xdr:to>
    <xdr:sp macro="" textlink="">
      <xdr:nvSpPr>
        <xdr:cNvPr id="1284" name="Line 13"/>
        <xdr:cNvSpPr>
          <a:spLocks noChangeShapeType="1"/>
        </xdr:cNvSpPr>
      </xdr:nvSpPr>
      <xdr:spPr bwMode="auto">
        <a:xfrm flipH="1">
          <a:off x="3686175" y="9344025"/>
          <a:ext cx="4000500" cy="1885950"/>
        </a:xfrm>
        <a:prstGeom prst="line">
          <a:avLst/>
        </a:prstGeom>
        <a:noFill/>
        <a:ln w="3175">
          <a:solidFill>
            <a:srgbClr val="000000"/>
          </a:solidFill>
          <a:round/>
          <a:headEnd/>
          <a:tailEnd/>
        </a:ln>
      </xdr:spPr>
    </xdr:sp>
    <xdr:clientData/>
  </xdr:twoCellAnchor>
  <xdr:twoCellAnchor>
    <xdr:from>
      <xdr:col>22</xdr:col>
      <xdr:colOff>0</xdr:colOff>
      <xdr:row>78</xdr:row>
      <xdr:rowOff>0</xdr:rowOff>
    </xdr:from>
    <xdr:to>
      <xdr:col>27</xdr:col>
      <xdr:colOff>0</xdr:colOff>
      <xdr:row>89</xdr:row>
      <xdr:rowOff>0</xdr:rowOff>
    </xdr:to>
    <xdr:sp macro="" textlink="">
      <xdr:nvSpPr>
        <xdr:cNvPr id="1285" name="Line 14"/>
        <xdr:cNvSpPr>
          <a:spLocks noChangeShapeType="1"/>
        </xdr:cNvSpPr>
      </xdr:nvSpPr>
      <xdr:spPr bwMode="auto">
        <a:xfrm flipH="1">
          <a:off x="3686175" y="12515850"/>
          <a:ext cx="4000500" cy="1885950"/>
        </a:xfrm>
        <a:prstGeom prst="line">
          <a:avLst/>
        </a:prstGeom>
        <a:noFill/>
        <a:ln w="3175">
          <a:solidFill>
            <a:srgbClr val="000000"/>
          </a:solidFill>
          <a:round/>
          <a:headEnd/>
          <a:tailEnd/>
        </a:ln>
      </xdr:spPr>
    </xdr:sp>
    <xdr:clientData/>
  </xdr:twoCellAnchor>
  <xdr:twoCellAnchor>
    <xdr:from>
      <xdr:col>22</xdr:col>
      <xdr:colOff>0</xdr:colOff>
      <xdr:row>21</xdr:row>
      <xdr:rowOff>0</xdr:rowOff>
    </xdr:from>
    <xdr:to>
      <xdr:col>27</xdr:col>
      <xdr:colOff>0</xdr:colOff>
      <xdr:row>33</xdr:row>
      <xdr:rowOff>0</xdr:rowOff>
    </xdr:to>
    <xdr:sp macro="" textlink="">
      <xdr:nvSpPr>
        <xdr:cNvPr id="1286" name="Line 8"/>
        <xdr:cNvSpPr>
          <a:spLocks noChangeShapeType="1"/>
        </xdr:cNvSpPr>
      </xdr:nvSpPr>
      <xdr:spPr bwMode="auto">
        <a:xfrm flipH="1">
          <a:off x="3686175" y="3371850"/>
          <a:ext cx="4000500" cy="2057400"/>
        </a:xfrm>
        <a:prstGeom prst="line">
          <a:avLst/>
        </a:prstGeom>
        <a:noFill/>
        <a:ln w="3175">
          <a:solidFill>
            <a:srgbClr val="000000"/>
          </a:solidFill>
          <a:round/>
          <a:headEnd/>
          <a:tailEnd/>
        </a:ln>
      </xdr:spPr>
    </xdr:sp>
    <xdr:clientData/>
  </xdr:twoCellAnchor>
  <xdr:twoCellAnchor>
    <xdr:from>
      <xdr:col>27</xdr:col>
      <xdr:colOff>9525</xdr:colOff>
      <xdr:row>147</xdr:row>
      <xdr:rowOff>0</xdr:rowOff>
    </xdr:from>
    <xdr:to>
      <xdr:col>27</xdr:col>
      <xdr:colOff>933450</xdr:colOff>
      <xdr:row>165</xdr:row>
      <xdr:rowOff>0</xdr:rowOff>
    </xdr:to>
    <xdr:sp macro="" textlink="">
      <xdr:nvSpPr>
        <xdr:cNvPr id="1287" name="Line 14"/>
        <xdr:cNvSpPr>
          <a:spLocks noChangeShapeType="1"/>
        </xdr:cNvSpPr>
      </xdr:nvSpPr>
      <xdr:spPr bwMode="auto">
        <a:xfrm flipH="1">
          <a:off x="7696200" y="24593550"/>
          <a:ext cx="923925" cy="3086100"/>
        </a:xfrm>
        <a:prstGeom prst="line">
          <a:avLst/>
        </a:prstGeom>
        <a:noFill/>
        <a:ln w="3175">
          <a:solidFill>
            <a:srgbClr val="000000"/>
          </a:solidFill>
          <a:round/>
          <a:headEnd/>
          <a:tailEnd/>
        </a:ln>
      </xdr:spPr>
    </xdr:sp>
    <xdr:clientData/>
  </xdr:twoCellAnchor>
  <xdr:twoCellAnchor>
    <xdr:from>
      <xdr:col>21</xdr:col>
      <xdr:colOff>800100</xdr:colOff>
      <xdr:row>132</xdr:row>
      <xdr:rowOff>9525</xdr:rowOff>
    </xdr:from>
    <xdr:to>
      <xdr:col>27</xdr:col>
      <xdr:colOff>9525</xdr:colOff>
      <xdr:row>132</xdr:row>
      <xdr:rowOff>171450</xdr:rowOff>
    </xdr:to>
    <xdr:sp macro="" textlink="">
      <xdr:nvSpPr>
        <xdr:cNvPr id="1288" name="Line 14"/>
        <xdr:cNvSpPr>
          <a:spLocks noChangeShapeType="1"/>
        </xdr:cNvSpPr>
      </xdr:nvSpPr>
      <xdr:spPr bwMode="auto">
        <a:xfrm flipH="1">
          <a:off x="3686175" y="21497925"/>
          <a:ext cx="4010025" cy="161925"/>
        </a:xfrm>
        <a:prstGeom prst="line">
          <a:avLst/>
        </a:prstGeom>
        <a:noFill/>
        <a:ln w="3175">
          <a:solidFill>
            <a:srgbClr val="000000"/>
          </a:solidFill>
          <a:round/>
          <a:headEnd/>
          <a:tailEnd/>
        </a:ln>
      </xdr:spPr>
    </xdr:sp>
    <xdr:clientData/>
  </xdr:twoCellAnchor>
  <xdr:twoCellAnchor>
    <xdr:from>
      <xdr:col>28</xdr:col>
      <xdr:colOff>800100</xdr:colOff>
      <xdr:row>115</xdr:row>
      <xdr:rowOff>0</xdr:rowOff>
    </xdr:from>
    <xdr:to>
      <xdr:col>29</xdr:col>
      <xdr:colOff>790575</xdr:colOff>
      <xdr:row>134</xdr:row>
      <xdr:rowOff>19050</xdr:rowOff>
    </xdr:to>
    <xdr:sp macro="" textlink="">
      <xdr:nvSpPr>
        <xdr:cNvPr id="1289" name="Line 14"/>
        <xdr:cNvSpPr>
          <a:spLocks noChangeShapeType="1"/>
        </xdr:cNvSpPr>
      </xdr:nvSpPr>
      <xdr:spPr bwMode="auto">
        <a:xfrm flipH="1">
          <a:off x="9420225" y="18573750"/>
          <a:ext cx="790575" cy="3276600"/>
        </a:xfrm>
        <a:prstGeom prst="line">
          <a:avLst/>
        </a:prstGeom>
        <a:noFill/>
        <a:ln w="3175">
          <a:solidFill>
            <a:srgbClr val="000000"/>
          </a:solidFill>
          <a:round/>
          <a:headEnd/>
          <a:tailEnd/>
        </a:ln>
      </xdr:spPr>
    </xdr:sp>
    <xdr:clientData/>
  </xdr:twoCellAnchor>
  <xdr:twoCellAnchor>
    <xdr:from>
      <xdr:col>29</xdr:col>
      <xdr:colOff>9524</xdr:colOff>
      <xdr:row>4</xdr:row>
      <xdr:rowOff>9524</xdr:rowOff>
    </xdr:from>
    <xdr:to>
      <xdr:col>30</xdr:col>
      <xdr:colOff>0</xdr:colOff>
      <xdr:row>16</xdr:row>
      <xdr:rowOff>171449</xdr:rowOff>
    </xdr:to>
    <xdr:sp macro="" textlink="">
      <xdr:nvSpPr>
        <xdr:cNvPr id="8" name="Line 8"/>
        <xdr:cNvSpPr>
          <a:spLocks noChangeShapeType="1"/>
        </xdr:cNvSpPr>
      </xdr:nvSpPr>
      <xdr:spPr bwMode="auto">
        <a:xfrm flipH="1">
          <a:off x="9429749" y="581024"/>
          <a:ext cx="790576" cy="2219325"/>
        </a:xfrm>
        <a:prstGeom prst="line">
          <a:avLst/>
        </a:prstGeom>
        <a:noFill/>
        <a:ln w="3175">
          <a:solidFill>
            <a:srgbClr val="000000"/>
          </a:solidFill>
          <a:round/>
          <a:headEnd/>
          <a:tailEnd/>
        </a:ln>
      </xdr:spPr>
    </xdr:sp>
    <xdr:clientData/>
  </xdr:twoCellAnchor>
  <xdr:twoCellAnchor>
    <xdr:from>
      <xdr:col>29</xdr:col>
      <xdr:colOff>9524</xdr:colOff>
      <xdr:row>21</xdr:row>
      <xdr:rowOff>9524</xdr:rowOff>
    </xdr:from>
    <xdr:to>
      <xdr:col>30</xdr:col>
      <xdr:colOff>0</xdr:colOff>
      <xdr:row>33</xdr:row>
      <xdr:rowOff>171449</xdr:rowOff>
    </xdr:to>
    <xdr:sp macro="" textlink="">
      <xdr:nvSpPr>
        <xdr:cNvPr id="9" name="Line 8"/>
        <xdr:cNvSpPr>
          <a:spLocks noChangeShapeType="1"/>
        </xdr:cNvSpPr>
      </xdr:nvSpPr>
      <xdr:spPr bwMode="auto">
        <a:xfrm flipH="1">
          <a:off x="9429749" y="581024"/>
          <a:ext cx="790576" cy="2219325"/>
        </a:xfrm>
        <a:prstGeom prst="line">
          <a:avLst/>
        </a:prstGeom>
        <a:noFill/>
        <a:ln w="3175">
          <a:solidFill>
            <a:srgbClr val="000000"/>
          </a:solidFill>
          <a:round/>
          <a:headEnd/>
          <a:tailEnd/>
        </a:ln>
      </xdr:spPr>
    </xdr:sp>
    <xdr:clientData/>
  </xdr:twoCellAnchor>
  <xdr:twoCellAnchor>
    <xdr:from>
      <xdr:col>29</xdr:col>
      <xdr:colOff>9524</xdr:colOff>
      <xdr:row>41</xdr:row>
      <xdr:rowOff>9524</xdr:rowOff>
    </xdr:from>
    <xdr:to>
      <xdr:col>30</xdr:col>
      <xdr:colOff>0</xdr:colOff>
      <xdr:row>53</xdr:row>
      <xdr:rowOff>171449</xdr:rowOff>
    </xdr:to>
    <xdr:sp macro="" textlink="">
      <xdr:nvSpPr>
        <xdr:cNvPr id="10" name="Line 8"/>
        <xdr:cNvSpPr>
          <a:spLocks noChangeShapeType="1"/>
        </xdr:cNvSpPr>
      </xdr:nvSpPr>
      <xdr:spPr bwMode="auto">
        <a:xfrm flipH="1">
          <a:off x="9429749" y="581024"/>
          <a:ext cx="790576" cy="2219325"/>
        </a:xfrm>
        <a:prstGeom prst="line">
          <a:avLst/>
        </a:prstGeom>
        <a:noFill/>
        <a:ln w="3175">
          <a:solidFill>
            <a:srgbClr val="000000"/>
          </a:solidFill>
          <a:round/>
          <a:headEnd/>
          <a:tailEnd/>
        </a:ln>
      </xdr:spPr>
    </xdr:sp>
    <xdr:clientData/>
  </xdr:twoCellAnchor>
  <xdr:twoCellAnchor>
    <xdr:from>
      <xdr:col>29</xdr:col>
      <xdr:colOff>9524</xdr:colOff>
      <xdr:row>58</xdr:row>
      <xdr:rowOff>1</xdr:rowOff>
    </xdr:from>
    <xdr:to>
      <xdr:col>29</xdr:col>
      <xdr:colOff>790575</xdr:colOff>
      <xdr:row>70</xdr:row>
      <xdr:rowOff>1</xdr:rowOff>
    </xdr:to>
    <xdr:sp macro="" textlink="">
      <xdr:nvSpPr>
        <xdr:cNvPr id="13" name="Line 8"/>
        <xdr:cNvSpPr>
          <a:spLocks noChangeShapeType="1"/>
        </xdr:cNvSpPr>
      </xdr:nvSpPr>
      <xdr:spPr bwMode="auto">
        <a:xfrm flipH="1">
          <a:off x="9429749" y="9344026"/>
          <a:ext cx="781051" cy="2057400"/>
        </a:xfrm>
        <a:prstGeom prst="line">
          <a:avLst/>
        </a:prstGeom>
        <a:noFill/>
        <a:ln w="3175">
          <a:solidFill>
            <a:srgbClr val="000000"/>
          </a:solidFill>
          <a:round/>
          <a:headEnd/>
          <a:tailEnd/>
        </a:ln>
      </xdr:spPr>
    </xdr:sp>
    <xdr:clientData/>
  </xdr:twoCellAnchor>
  <xdr:twoCellAnchor>
    <xdr:from>
      <xdr:col>29</xdr:col>
      <xdr:colOff>9524</xdr:colOff>
      <xdr:row>78</xdr:row>
      <xdr:rowOff>1</xdr:rowOff>
    </xdr:from>
    <xdr:to>
      <xdr:col>29</xdr:col>
      <xdr:colOff>790575</xdr:colOff>
      <xdr:row>90</xdr:row>
      <xdr:rowOff>1</xdr:rowOff>
    </xdr:to>
    <xdr:sp macro="" textlink="">
      <xdr:nvSpPr>
        <xdr:cNvPr id="14" name="Line 8"/>
        <xdr:cNvSpPr>
          <a:spLocks noChangeShapeType="1"/>
        </xdr:cNvSpPr>
      </xdr:nvSpPr>
      <xdr:spPr bwMode="auto">
        <a:xfrm flipH="1">
          <a:off x="9429749" y="9344026"/>
          <a:ext cx="781051" cy="2057400"/>
        </a:xfrm>
        <a:prstGeom prst="line">
          <a:avLst/>
        </a:prstGeom>
        <a:noFill/>
        <a:ln w="3175">
          <a:solidFill>
            <a:srgbClr val="000000"/>
          </a:solidFill>
          <a:round/>
          <a:headEnd/>
          <a:tailEnd/>
        </a:ln>
      </xdr:spPr>
    </xdr:sp>
    <xdr:clientData/>
  </xdr:twoCellAnchor>
  <xdr:twoCellAnchor>
    <xdr:from>
      <xdr:col>9</xdr:col>
      <xdr:colOff>9525</xdr:colOff>
      <xdr:row>215</xdr:row>
      <xdr:rowOff>0</xdr:rowOff>
    </xdr:from>
    <xdr:to>
      <xdr:col>9</xdr:col>
      <xdr:colOff>933450</xdr:colOff>
      <xdr:row>233</xdr:row>
      <xdr:rowOff>0</xdr:rowOff>
    </xdr:to>
    <xdr:sp macro="" textlink="">
      <xdr:nvSpPr>
        <xdr:cNvPr id="15" name="Line 14"/>
        <xdr:cNvSpPr>
          <a:spLocks noChangeShapeType="1"/>
        </xdr:cNvSpPr>
      </xdr:nvSpPr>
      <xdr:spPr bwMode="auto">
        <a:xfrm flipH="1">
          <a:off x="7696200" y="30937200"/>
          <a:ext cx="923925" cy="3429000"/>
        </a:xfrm>
        <a:prstGeom prst="line">
          <a:avLst/>
        </a:prstGeom>
        <a:noFill/>
        <a:ln w="3175">
          <a:solidFill>
            <a:srgbClr val="000000"/>
          </a:solidFill>
          <a:round/>
          <a:headEnd/>
          <a:tailEnd/>
        </a:ln>
      </xdr:spPr>
    </xdr:sp>
    <xdr:clientData/>
  </xdr:twoCellAnchor>
  <xdr:twoCellAnchor>
    <xdr:from>
      <xdr:col>4</xdr:col>
      <xdr:colOff>0</xdr:colOff>
      <xdr:row>197</xdr:row>
      <xdr:rowOff>0</xdr:rowOff>
    </xdr:from>
    <xdr:to>
      <xdr:col>9</xdr:col>
      <xdr:colOff>0</xdr:colOff>
      <xdr:row>198</xdr:row>
      <xdr:rowOff>7937</xdr:rowOff>
    </xdr:to>
    <xdr:cxnSp macro="">
      <xdr:nvCxnSpPr>
        <xdr:cNvPr id="16" name="直線コネクタ 15"/>
        <xdr:cNvCxnSpPr/>
      </xdr:nvCxnSpPr>
      <xdr:spPr bwMode="auto">
        <a:xfrm flipH="1">
          <a:off x="3686175" y="28041600"/>
          <a:ext cx="4000500" cy="198437"/>
        </a:xfrm>
        <a:prstGeom prst="line">
          <a:avLst/>
        </a:prstGeom>
        <a:solidFill>
          <a:srgbClr val="FFFFFF"/>
        </a:solidFill>
        <a:ln w="3175" cap="flat" cmpd="sng" algn="ctr">
          <a:solidFill>
            <a:srgbClr val="000000"/>
          </a:solidFill>
          <a:prstDash val="solid"/>
          <a:round/>
          <a:headEnd type="none" w="med" len="med"/>
          <a:tailEnd type="none" w="med" len="med"/>
        </a:ln>
        <a:effectLst/>
      </xdr:spPr>
    </xdr:cxnSp>
    <xdr:clientData/>
  </xdr:twoCellAnchor>
  <xdr:twoCellAnchor>
    <xdr:from>
      <xdr:col>9</xdr:col>
      <xdr:colOff>9525</xdr:colOff>
      <xdr:row>215</xdr:row>
      <xdr:rowOff>0</xdr:rowOff>
    </xdr:from>
    <xdr:to>
      <xdr:col>9</xdr:col>
      <xdr:colOff>933450</xdr:colOff>
      <xdr:row>233</xdr:row>
      <xdr:rowOff>0</xdr:rowOff>
    </xdr:to>
    <xdr:sp macro="" textlink="">
      <xdr:nvSpPr>
        <xdr:cNvPr id="17" name="Line 14"/>
        <xdr:cNvSpPr>
          <a:spLocks noChangeShapeType="1"/>
        </xdr:cNvSpPr>
      </xdr:nvSpPr>
      <xdr:spPr bwMode="auto">
        <a:xfrm flipH="1">
          <a:off x="7696200" y="30937200"/>
          <a:ext cx="923925" cy="3429000"/>
        </a:xfrm>
        <a:prstGeom prst="line">
          <a:avLst/>
        </a:prstGeom>
        <a:noFill/>
        <a:ln w="3175">
          <a:solidFill>
            <a:srgbClr val="000000"/>
          </a:solidFill>
          <a:round/>
          <a:headEnd/>
          <a:tailEnd/>
        </a:ln>
      </xdr:spPr>
    </xdr:sp>
    <xdr:clientData/>
  </xdr:twoCellAnchor>
  <xdr:twoCellAnchor>
    <xdr:from>
      <xdr:col>4</xdr:col>
      <xdr:colOff>0</xdr:colOff>
      <xdr:row>197</xdr:row>
      <xdr:rowOff>0</xdr:rowOff>
    </xdr:from>
    <xdr:to>
      <xdr:col>9</xdr:col>
      <xdr:colOff>0</xdr:colOff>
      <xdr:row>198</xdr:row>
      <xdr:rowOff>7937</xdr:rowOff>
    </xdr:to>
    <xdr:cxnSp macro="">
      <xdr:nvCxnSpPr>
        <xdr:cNvPr id="18" name="直線コネクタ 17"/>
        <xdr:cNvCxnSpPr/>
      </xdr:nvCxnSpPr>
      <xdr:spPr bwMode="auto">
        <a:xfrm flipH="1">
          <a:off x="3686175" y="28041600"/>
          <a:ext cx="4000500" cy="198437"/>
        </a:xfrm>
        <a:prstGeom prst="line">
          <a:avLst/>
        </a:prstGeom>
        <a:solidFill>
          <a:srgbClr val="FFFFFF"/>
        </a:solidFill>
        <a:ln w="3175" cap="flat" cmpd="sng" algn="ctr">
          <a:solidFill>
            <a:srgbClr val="000000"/>
          </a:solidFill>
          <a:prstDash val="solid"/>
          <a:round/>
          <a:headEnd type="none" w="med" len="med"/>
          <a:tailEnd type="none" w="med" len="med"/>
        </a:ln>
        <a:effectLst/>
      </xdr:spPr>
    </xdr:cxnSp>
    <xdr:clientData/>
  </xdr:twoCellAnchor>
  <xdr:twoCellAnchor>
    <xdr:from>
      <xdr:col>26</xdr:col>
      <xdr:colOff>800099</xdr:colOff>
      <xdr:row>207</xdr:row>
      <xdr:rowOff>9525</xdr:rowOff>
    </xdr:from>
    <xdr:to>
      <xdr:col>27</xdr:col>
      <xdr:colOff>933448</xdr:colOff>
      <xdr:row>223</xdr:row>
      <xdr:rowOff>161925</xdr:rowOff>
    </xdr:to>
    <xdr:sp macro="" textlink="">
      <xdr:nvSpPr>
        <xdr:cNvPr id="21" name="Line 14"/>
        <xdr:cNvSpPr>
          <a:spLocks noChangeShapeType="1"/>
        </xdr:cNvSpPr>
      </xdr:nvSpPr>
      <xdr:spPr bwMode="auto">
        <a:xfrm flipH="1">
          <a:off x="7686674" y="35309175"/>
          <a:ext cx="933449" cy="2895600"/>
        </a:xfrm>
        <a:prstGeom prst="line">
          <a:avLst/>
        </a:prstGeom>
        <a:noFill/>
        <a:ln w="0">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0</xdr:colOff>
      <xdr:row>94</xdr:row>
      <xdr:rowOff>212480</xdr:rowOff>
    </xdr:from>
    <xdr:to>
      <xdr:col>9</xdr:col>
      <xdr:colOff>0</xdr:colOff>
      <xdr:row>101</xdr:row>
      <xdr:rowOff>0</xdr:rowOff>
    </xdr:to>
    <xdr:cxnSp macro="">
      <xdr:nvCxnSpPr>
        <xdr:cNvPr id="3" name="直線コネクタ 2"/>
        <xdr:cNvCxnSpPr/>
      </xdr:nvCxnSpPr>
      <xdr:spPr bwMode="auto">
        <a:xfrm flipH="1">
          <a:off x="4872404" y="14148288"/>
          <a:ext cx="1538654" cy="1274885"/>
        </a:xfrm>
        <a:prstGeom prst="line">
          <a:avLst/>
        </a:prstGeom>
        <a:solidFill>
          <a:srgbClr val="FFFFFF"/>
        </a:solidFill>
        <a:ln w="0" cap="flat" cmpd="sng" algn="ctr">
          <a:solidFill>
            <a:srgbClr val="000000"/>
          </a:solidFill>
          <a:prstDash val="solid"/>
          <a:round/>
          <a:headEnd type="none" w="med" len="med"/>
          <a:tailEnd type="none" w="med" len="med"/>
        </a:ln>
        <a:effec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65402;&#65437;&#65403;&#65433;/&#37117;&#24066;&#35336;&#30011;/H25&#31637;&#36650;&#30010;&#37117;&#35336;&#36947;&#35211;&#30452;&#12375;/&#22259;&#38754;/H24&#22522;&#30990;&#35519;&#26619;/1&#35519;&#26360;/1&#20154;&#2147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1-1-1人口総数"/>
      <sheetName val="1-1-2人口動態"/>
      <sheetName val="1-1-3推計表紙"/>
      <sheetName val="1-1-3推計"/>
      <sheetName val="1-2-1市街地"/>
      <sheetName val="1-2-2地区別人口"/>
      <sheetName val="1-2-5市街地人口"/>
      <sheetName val="1-3-1年齢３区分"/>
      <sheetName val="1-3-1ｸﾞﾗﾌ"/>
      <sheetName val="1-3-2産業人口"/>
      <sheetName val="1-3-2産業人口(2)"/>
      <sheetName val="1-3-2推計"/>
      <sheetName val="1-3-3職業人口"/>
      <sheetName val="1-3-4流出流入人口"/>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B1:T61"/>
  <sheetViews>
    <sheetView showGridLines="0" view="pageBreakPreview" topLeftCell="A16" zoomScaleNormal="100" zoomScaleSheetLayoutView="100" workbookViewId="0">
      <selection activeCell="B59" sqref="B59"/>
    </sheetView>
  </sheetViews>
  <sheetFormatPr defaultColWidth="8.875" defaultRowHeight="15.75" customHeight="1"/>
  <cols>
    <col min="1" max="1" width="1.75" style="1" customWidth="1"/>
    <col min="2" max="2" width="38.75" style="183" customWidth="1"/>
    <col min="3" max="3" width="5.625" style="183" customWidth="1"/>
    <col min="4" max="4" width="6.625" style="183" customWidth="1"/>
    <col min="5" max="5" width="4.625" style="183" customWidth="1"/>
    <col min="6" max="6" width="6.625" style="183" customWidth="1"/>
    <col min="7" max="7" width="5.625" style="183" customWidth="1"/>
    <col min="8" max="8" width="6.625" style="183" customWidth="1"/>
    <col min="9" max="9" width="4.625" style="183" customWidth="1"/>
    <col min="10" max="10" width="6.625" style="183" customWidth="1"/>
    <col min="11" max="11" width="5.625" style="183" customWidth="1"/>
    <col min="12" max="12" width="6.625" style="183" customWidth="1"/>
    <col min="13" max="13" width="4.625" style="183" customWidth="1"/>
    <col min="14" max="14" width="6.625" style="183" customWidth="1"/>
    <col min="15" max="15" width="5.625" style="183" customWidth="1"/>
    <col min="16" max="16" width="6.625" style="183" customWidth="1"/>
    <col min="17" max="17" width="4.625" style="183" customWidth="1"/>
    <col min="18" max="18" width="6.625" style="183" customWidth="1"/>
    <col min="19" max="20" width="1.75" style="183" customWidth="1"/>
    <col min="21" max="16384" width="8.875" style="1"/>
  </cols>
  <sheetData>
    <row r="1" spans="2:20" ht="15.75" customHeight="1">
      <c r="O1" s="1"/>
      <c r="P1" s="1"/>
      <c r="Q1" s="1"/>
      <c r="R1" s="1"/>
      <c r="S1" s="1"/>
      <c r="T1" s="1"/>
    </row>
    <row r="2" spans="2:20" ht="15.75" customHeight="1">
      <c r="B2" s="664" t="s">
        <v>8</v>
      </c>
      <c r="C2" s="250" t="s">
        <v>564</v>
      </c>
      <c r="D2" s="5"/>
      <c r="E2" s="5"/>
      <c r="F2" s="5"/>
      <c r="G2" s="5"/>
      <c r="H2" s="5"/>
      <c r="I2" s="5"/>
      <c r="J2" s="5"/>
      <c r="K2" s="250" t="s">
        <v>565</v>
      </c>
      <c r="L2" s="5"/>
      <c r="M2" s="5"/>
      <c r="N2" s="5"/>
      <c r="O2" s="5"/>
      <c r="P2" s="5"/>
      <c r="Q2" s="5"/>
      <c r="R2" s="88"/>
      <c r="S2" s="1"/>
      <c r="T2" s="1"/>
    </row>
    <row r="3" spans="2:20" ht="15.75" customHeight="1">
      <c r="B3" s="665"/>
      <c r="C3" s="655" t="s">
        <v>353</v>
      </c>
      <c r="D3" s="656"/>
      <c r="E3" s="656"/>
      <c r="F3" s="657"/>
      <c r="G3" s="658" t="s">
        <v>352</v>
      </c>
      <c r="H3" s="656"/>
      <c r="I3" s="656"/>
      <c r="J3" s="656"/>
      <c r="K3" s="655" t="s">
        <v>353</v>
      </c>
      <c r="L3" s="656"/>
      <c r="M3" s="656"/>
      <c r="N3" s="657"/>
      <c r="O3" s="658" t="s">
        <v>563</v>
      </c>
      <c r="P3" s="656"/>
      <c r="Q3" s="656"/>
      <c r="R3" s="659"/>
      <c r="S3" s="1"/>
      <c r="T3" s="1"/>
    </row>
    <row r="4" spans="2:20" ht="15.75" customHeight="1">
      <c r="B4" s="665"/>
      <c r="C4" s="660" t="s">
        <v>174</v>
      </c>
      <c r="D4" s="661"/>
      <c r="E4" s="662" t="s">
        <v>175</v>
      </c>
      <c r="F4" s="661"/>
      <c r="G4" s="662" t="s">
        <v>174</v>
      </c>
      <c r="H4" s="661"/>
      <c r="I4" s="662" t="s">
        <v>175</v>
      </c>
      <c r="J4" s="667"/>
      <c r="K4" s="660" t="s">
        <v>174</v>
      </c>
      <c r="L4" s="661"/>
      <c r="M4" s="662" t="s">
        <v>175</v>
      </c>
      <c r="N4" s="661"/>
      <c r="O4" s="662" t="s">
        <v>174</v>
      </c>
      <c r="P4" s="661"/>
      <c r="Q4" s="662" t="s">
        <v>175</v>
      </c>
      <c r="R4" s="663"/>
      <c r="S4" s="1"/>
      <c r="T4" s="1"/>
    </row>
    <row r="5" spans="2:20" ht="15.75" customHeight="1">
      <c r="B5" s="666"/>
      <c r="C5" s="16"/>
      <c r="D5" s="387" t="s">
        <v>179</v>
      </c>
      <c r="E5" s="393"/>
      <c r="F5" s="387" t="s">
        <v>180</v>
      </c>
      <c r="G5" s="393"/>
      <c r="H5" s="387" t="s">
        <v>179</v>
      </c>
      <c r="I5" s="393"/>
      <c r="J5" s="387" t="s">
        <v>180</v>
      </c>
      <c r="K5" s="16"/>
      <c r="L5" s="387" t="s">
        <v>179</v>
      </c>
      <c r="M5" s="393"/>
      <c r="N5" s="387" t="s">
        <v>180</v>
      </c>
      <c r="O5" s="393"/>
      <c r="P5" s="387" t="s">
        <v>179</v>
      </c>
      <c r="Q5" s="393"/>
      <c r="R5" s="388" t="s">
        <v>180</v>
      </c>
      <c r="S5" s="1"/>
      <c r="T5" s="1"/>
    </row>
    <row r="6" spans="2:20" s="33" customFormat="1" ht="15.75" customHeight="1">
      <c r="B6" s="187" t="s">
        <v>568</v>
      </c>
      <c r="C6" s="389"/>
      <c r="D6" s="550">
        <v>1830</v>
      </c>
      <c r="E6" s="560"/>
      <c r="F6" s="394">
        <f>D6/D$23*100</f>
        <v>24.897959183673468</v>
      </c>
      <c r="G6" s="455"/>
      <c r="H6" s="597">
        <v>1824</v>
      </c>
      <c r="I6" s="455"/>
      <c r="J6" s="567">
        <f>H6/H$23*100</f>
        <v>29.10019144862795</v>
      </c>
      <c r="K6" s="571"/>
      <c r="L6" s="550">
        <v>1682</v>
      </c>
      <c r="M6" s="555"/>
      <c r="N6" s="567">
        <f>L6/L$23*100</f>
        <v>22.79750609921388</v>
      </c>
      <c r="O6" s="601"/>
      <c r="P6" s="597">
        <v>1672</v>
      </c>
      <c r="Q6" s="455"/>
      <c r="R6" s="399">
        <f>P6/P$23*100</f>
        <v>25.719120135363788</v>
      </c>
    </row>
    <row r="7" spans="2:20" s="33" customFormat="1" ht="15.75" customHeight="1">
      <c r="B7" s="34" t="s">
        <v>569</v>
      </c>
      <c r="C7" s="34"/>
      <c r="D7" s="551">
        <v>10</v>
      </c>
      <c r="E7" s="561"/>
      <c r="F7" s="396">
        <f>D7/D$23*100</f>
        <v>0.13605442176870747</v>
      </c>
      <c r="G7" s="456"/>
      <c r="H7" s="598">
        <v>7</v>
      </c>
      <c r="I7" s="456"/>
      <c r="J7" s="568">
        <f>H7/H$23*100</f>
        <v>0.11167836630504148</v>
      </c>
      <c r="K7" s="572"/>
      <c r="L7" s="551">
        <v>9</v>
      </c>
      <c r="M7" s="556"/>
      <c r="N7" s="568">
        <f>L7/L$23*100</f>
        <v>0.12198427758200055</v>
      </c>
      <c r="O7" s="602"/>
      <c r="P7" s="598">
        <v>6</v>
      </c>
      <c r="Q7" s="456"/>
      <c r="R7" s="401">
        <f>P7/P$23*100</f>
        <v>9.2293493308721733E-2</v>
      </c>
    </row>
    <row r="8" spans="2:20" s="33" customFormat="1" ht="15.75" customHeight="1">
      <c r="B8" s="34" t="s">
        <v>570</v>
      </c>
      <c r="C8" s="34"/>
      <c r="D8" s="552" t="s">
        <v>585</v>
      </c>
      <c r="E8" s="562"/>
      <c r="F8" s="552" t="s">
        <v>585</v>
      </c>
      <c r="G8" s="457"/>
      <c r="H8" s="552" t="s">
        <v>585</v>
      </c>
      <c r="I8" s="457"/>
      <c r="J8" s="569" t="s">
        <v>459</v>
      </c>
      <c r="K8" s="573"/>
      <c r="L8" s="552" t="s">
        <v>585</v>
      </c>
      <c r="M8" s="564"/>
      <c r="N8" s="569" t="s">
        <v>459</v>
      </c>
      <c r="O8" s="603"/>
      <c r="P8" s="552" t="s">
        <v>585</v>
      </c>
      <c r="Q8" s="457"/>
      <c r="R8" s="400" t="s">
        <v>459</v>
      </c>
    </row>
    <row r="9" spans="2:20" s="246" customFormat="1" ht="15.75" customHeight="1">
      <c r="B9" s="249" t="s">
        <v>571</v>
      </c>
      <c r="C9" s="249"/>
      <c r="D9" s="553">
        <f>SUM(D6:D8)</f>
        <v>1840</v>
      </c>
      <c r="E9" s="563"/>
      <c r="F9" s="565">
        <f t="shared" ref="F9:F23" si="0">D9/D$23*100</f>
        <v>25.03401360544218</v>
      </c>
      <c r="G9" s="458"/>
      <c r="H9" s="553">
        <f>SUM(H6:H8)</f>
        <v>1831</v>
      </c>
      <c r="I9" s="458"/>
      <c r="J9" s="570">
        <f t="shared" ref="J9:J23" si="1">H9/H$23*100</f>
        <v>29.211869814932996</v>
      </c>
      <c r="K9" s="574"/>
      <c r="L9" s="553">
        <f>SUM(L6:L8)</f>
        <v>1691</v>
      </c>
      <c r="M9" s="558"/>
      <c r="N9" s="570">
        <f t="shared" ref="N9:N23" si="2">L9/L$23*100</f>
        <v>22.919490376795878</v>
      </c>
      <c r="O9" s="604"/>
      <c r="P9" s="553">
        <f>SUM(P6:P8)</f>
        <v>1678</v>
      </c>
      <c r="Q9" s="458"/>
      <c r="R9" s="575">
        <f t="shared" ref="R9:R23" si="3">P9/P$23*100</f>
        <v>25.811413628672515</v>
      </c>
    </row>
    <row r="10" spans="2:20" s="246" customFormat="1" ht="15.75" customHeight="1">
      <c r="B10" s="34" t="s">
        <v>572</v>
      </c>
      <c r="C10" s="248"/>
      <c r="D10" s="553">
        <v>5</v>
      </c>
      <c r="E10" s="563"/>
      <c r="F10" s="565">
        <f t="shared" si="0"/>
        <v>6.8027210884353734E-2</v>
      </c>
      <c r="G10" s="458"/>
      <c r="H10" s="552" t="s">
        <v>585</v>
      </c>
      <c r="I10" s="458"/>
      <c r="J10" s="569" t="s">
        <v>459</v>
      </c>
      <c r="K10" s="574"/>
      <c r="L10" s="553">
        <v>4</v>
      </c>
      <c r="M10" s="558"/>
      <c r="N10" s="569" t="s">
        <v>459</v>
      </c>
      <c r="O10" s="604"/>
      <c r="P10" s="599">
        <v>5</v>
      </c>
      <c r="Q10" s="458"/>
      <c r="R10" s="582" t="s">
        <v>459</v>
      </c>
    </row>
    <row r="11" spans="2:20" s="246" customFormat="1" ht="15.75" customHeight="1">
      <c r="B11" s="34" t="s">
        <v>573</v>
      </c>
      <c r="C11" s="248"/>
      <c r="D11" s="553">
        <v>690</v>
      </c>
      <c r="E11" s="563"/>
      <c r="F11" s="565">
        <f t="shared" si="0"/>
        <v>9.387755102040817</v>
      </c>
      <c r="G11" s="458"/>
      <c r="H11" s="599">
        <v>603</v>
      </c>
      <c r="I11" s="458"/>
      <c r="J11" s="570">
        <f t="shared" si="1"/>
        <v>9.6202935545628581</v>
      </c>
      <c r="K11" s="574"/>
      <c r="L11" s="553">
        <v>758</v>
      </c>
      <c r="M11" s="558"/>
      <c r="N11" s="570">
        <f t="shared" si="2"/>
        <v>10.27378693412849</v>
      </c>
      <c r="O11" s="604"/>
      <c r="P11" s="599">
        <v>640</v>
      </c>
      <c r="Q11" s="458"/>
      <c r="R11" s="575">
        <f t="shared" si="3"/>
        <v>9.8446392862636518</v>
      </c>
    </row>
    <row r="12" spans="2:20" s="246" customFormat="1" ht="15.75" customHeight="1">
      <c r="B12" s="34" t="s">
        <v>574</v>
      </c>
      <c r="C12" s="248"/>
      <c r="D12" s="553">
        <v>1896</v>
      </c>
      <c r="E12" s="563"/>
      <c r="F12" s="565">
        <f t="shared" si="0"/>
        <v>25.795918367346935</v>
      </c>
      <c r="G12" s="458"/>
      <c r="H12" s="599">
        <v>1723</v>
      </c>
      <c r="I12" s="458"/>
      <c r="J12" s="570">
        <f t="shared" si="1"/>
        <v>27.488832163369498</v>
      </c>
      <c r="K12" s="574"/>
      <c r="L12" s="553">
        <v>1689</v>
      </c>
      <c r="M12" s="558"/>
      <c r="N12" s="570">
        <f t="shared" si="2"/>
        <v>22.892382759555435</v>
      </c>
      <c r="O12" s="604"/>
      <c r="P12" s="599">
        <v>1564</v>
      </c>
      <c r="Q12" s="458"/>
      <c r="R12" s="575">
        <f t="shared" si="3"/>
        <v>24.057837255806799</v>
      </c>
    </row>
    <row r="13" spans="2:20" s="246" customFormat="1" ht="15.75" customHeight="1">
      <c r="B13" s="249" t="s">
        <v>575</v>
      </c>
      <c r="C13" s="249"/>
      <c r="D13" s="553">
        <f>SUM(D10:D12)</f>
        <v>2591</v>
      </c>
      <c r="E13" s="563"/>
      <c r="F13" s="565">
        <f t="shared" si="0"/>
        <v>35.251700680272108</v>
      </c>
      <c r="G13" s="458"/>
      <c r="H13" s="553">
        <f>SUM(H10:H12)</f>
        <v>2326</v>
      </c>
      <c r="I13" s="458"/>
      <c r="J13" s="570">
        <f t="shared" si="1"/>
        <v>37.109125717932358</v>
      </c>
      <c r="K13" s="574"/>
      <c r="L13" s="553">
        <f>SUM(L10:L12)</f>
        <v>2451</v>
      </c>
      <c r="M13" s="558"/>
      <c r="N13" s="570">
        <f t="shared" si="2"/>
        <v>33.220384928164812</v>
      </c>
      <c r="O13" s="604"/>
      <c r="P13" s="553">
        <f>SUM(P10:P12)</f>
        <v>2209</v>
      </c>
      <c r="Q13" s="458"/>
      <c r="R13" s="575">
        <f t="shared" si="3"/>
        <v>33.979387786494385</v>
      </c>
    </row>
    <row r="14" spans="2:20" s="246" customFormat="1" ht="15.75" customHeight="1">
      <c r="B14" s="34" t="s">
        <v>576</v>
      </c>
      <c r="C14" s="248"/>
      <c r="D14" s="553">
        <v>42</v>
      </c>
      <c r="E14" s="563"/>
      <c r="F14" s="565">
        <f t="shared" si="0"/>
        <v>0.5714285714285714</v>
      </c>
      <c r="G14" s="458"/>
      <c r="H14" s="599">
        <v>8</v>
      </c>
      <c r="I14" s="458"/>
      <c r="J14" s="570">
        <f t="shared" si="1"/>
        <v>0.12763241863433314</v>
      </c>
      <c r="K14" s="574"/>
      <c r="L14" s="553">
        <v>59</v>
      </c>
      <c r="M14" s="558"/>
      <c r="N14" s="570">
        <f t="shared" si="2"/>
        <v>0.79967470859311462</v>
      </c>
      <c r="O14" s="604"/>
      <c r="P14" s="599">
        <v>18</v>
      </c>
      <c r="Q14" s="458"/>
      <c r="R14" s="575">
        <f t="shared" si="3"/>
        <v>0.27688047992616521</v>
      </c>
    </row>
    <row r="15" spans="2:20" s="246" customFormat="1" ht="15.75" customHeight="1">
      <c r="B15" s="34" t="s">
        <v>577</v>
      </c>
      <c r="C15" s="248"/>
      <c r="D15" s="595">
        <v>251</v>
      </c>
      <c r="E15" s="583"/>
      <c r="F15" s="581">
        <f t="shared" si="0"/>
        <v>3.4149659863945581</v>
      </c>
      <c r="G15" s="580"/>
      <c r="H15" s="600">
        <v>152</v>
      </c>
      <c r="I15" s="580"/>
      <c r="J15" s="584">
        <f t="shared" si="1"/>
        <v>2.4250159540523293</v>
      </c>
      <c r="K15" s="585"/>
      <c r="L15" s="595">
        <v>246</v>
      </c>
      <c r="M15" s="586"/>
      <c r="N15" s="584">
        <f t="shared" si="2"/>
        <v>3.3342369205746811</v>
      </c>
      <c r="O15" s="605"/>
      <c r="P15" s="600">
        <v>168</v>
      </c>
      <c r="Q15" s="580"/>
      <c r="R15" s="582">
        <f t="shared" si="3"/>
        <v>2.5842178126442086</v>
      </c>
    </row>
    <row r="16" spans="2:20" s="246" customFormat="1" ht="15.75" customHeight="1">
      <c r="B16" s="34" t="s">
        <v>578</v>
      </c>
      <c r="C16" s="248"/>
      <c r="D16" s="595">
        <v>994</v>
      </c>
      <c r="E16" s="583"/>
      <c r="F16" s="581">
        <f t="shared" si="0"/>
        <v>13.523809523809524</v>
      </c>
      <c r="G16" s="580"/>
      <c r="H16" s="600">
        <v>790</v>
      </c>
      <c r="I16" s="580"/>
      <c r="J16" s="584">
        <f t="shared" si="1"/>
        <v>12.603701340140397</v>
      </c>
      <c r="K16" s="585"/>
      <c r="L16" s="595">
        <v>1056</v>
      </c>
      <c r="M16" s="586"/>
      <c r="N16" s="584">
        <f t="shared" si="2"/>
        <v>14.312821902954731</v>
      </c>
      <c r="O16" s="605"/>
      <c r="P16" s="600">
        <v>1025</v>
      </c>
      <c r="Q16" s="580"/>
      <c r="R16" s="582">
        <f t="shared" si="3"/>
        <v>15.766805106906629</v>
      </c>
    </row>
    <row r="17" spans="2:20" s="246" customFormat="1" ht="15.75" customHeight="1">
      <c r="B17" s="34" t="s">
        <v>579</v>
      </c>
      <c r="C17" s="248"/>
      <c r="D17" s="553">
        <v>110</v>
      </c>
      <c r="E17" s="563"/>
      <c r="F17" s="565">
        <f t="shared" si="0"/>
        <v>1.4965986394557822</v>
      </c>
      <c r="G17" s="458"/>
      <c r="H17" s="599">
        <v>58</v>
      </c>
      <c r="I17" s="458"/>
      <c r="J17" s="570">
        <f t="shared" si="1"/>
        <v>0.92533503509891513</v>
      </c>
      <c r="K17" s="574"/>
      <c r="L17" s="553">
        <v>98</v>
      </c>
      <c r="M17" s="558"/>
      <c r="N17" s="570">
        <f t="shared" si="2"/>
        <v>1.3282732447817838</v>
      </c>
      <c r="O17" s="604"/>
      <c r="P17" s="599">
        <v>51</v>
      </c>
      <c r="Q17" s="458"/>
      <c r="R17" s="575">
        <f t="shared" si="3"/>
        <v>0.78449469312413478</v>
      </c>
    </row>
    <row r="18" spans="2:20" s="246" customFormat="1" ht="15.75" customHeight="1">
      <c r="B18" s="34" t="s">
        <v>580</v>
      </c>
      <c r="C18" s="248"/>
      <c r="D18" s="553">
        <v>8</v>
      </c>
      <c r="E18" s="563"/>
      <c r="F18" s="565">
        <f t="shared" si="0"/>
        <v>0.10884353741496598</v>
      </c>
      <c r="G18" s="458"/>
      <c r="H18" s="599">
        <v>4</v>
      </c>
      <c r="I18" s="458"/>
      <c r="J18" s="570">
        <f t="shared" si="1"/>
        <v>6.381620931716657E-2</v>
      </c>
      <c r="K18" s="574"/>
      <c r="L18" s="553">
        <v>10</v>
      </c>
      <c r="M18" s="558"/>
      <c r="N18" s="570">
        <f t="shared" si="2"/>
        <v>0.13553808620222282</v>
      </c>
      <c r="O18" s="604"/>
      <c r="P18" s="599">
        <v>8</v>
      </c>
      <c r="Q18" s="458"/>
      <c r="R18" s="575">
        <f t="shared" si="3"/>
        <v>0.12305799107829565</v>
      </c>
    </row>
    <row r="19" spans="2:20" s="246" customFormat="1" ht="15.75" customHeight="1">
      <c r="B19" s="34" t="s">
        <v>581</v>
      </c>
      <c r="C19" s="248"/>
      <c r="D19" s="553">
        <v>1300</v>
      </c>
      <c r="E19" s="563"/>
      <c r="F19" s="565">
        <f t="shared" si="0"/>
        <v>17.687074829931973</v>
      </c>
      <c r="G19" s="458"/>
      <c r="H19" s="599">
        <v>969</v>
      </c>
      <c r="I19" s="458"/>
      <c r="J19" s="570">
        <f t="shared" si="1"/>
        <v>15.459476707083599</v>
      </c>
      <c r="K19" s="574"/>
      <c r="L19" s="553">
        <v>1579</v>
      </c>
      <c r="M19" s="558"/>
      <c r="N19" s="570">
        <f t="shared" si="2"/>
        <v>21.401463811330984</v>
      </c>
      <c r="O19" s="604"/>
      <c r="P19" s="599">
        <v>1204</v>
      </c>
      <c r="Q19" s="458"/>
      <c r="R19" s="575">
        <f t="shared" si="3"/>
        <v>18.520227657283495</v>
      </c>
    </row>
    <row r="20" spans="2:20" s="246" customFormat="1" ht="15.75" customHeight="1">
      <c r="B20" s="34" t="s">
        <v>582</v>
      </c>
      <c r="C20" s="248"/>
      <c r="D20" s="595">
        <v>208</v>
      </c>
      <c r="E20" s="583"/>
      <c r="F20" s="581">
        <f t="shared" si="0"/>
        <v>2.8299319727891157</v>
      </c>
      <c r="G20" s="580"/>
      <c r="H20" s="600">
        <v>126</v>
      </c>
      <c r="I20" s="580"/>
      <c r="J20" s="584">
        <f t="shared" si="1"/>
        <v>2.0102105934907466</v>
      </c>
      <c r="K20" s="585"/>
      <c r="L20" s="595">
        <v>162</v>
      </c>
      <c r="M20" s="586"/>
      <c r="N20" s="584">
        <f t="shared" si="2"/>
        <v>2.1957169964760097</v>
      </c>
      <c r="O20" s="605"/>
      <c r="P20" s="600">
        <v>116</v>
      </c>
      <c r="Q20" s="580"/>
      <c r="R20" s="582">
        <f t="shared" si="3"/>
        <v>1.784340870635287</v>
      </c>
    </row>
    <row r="21" spans="2:20" s="246" customFormat="1" ht="15.75" customHeight="1">
      <c r="B21" s="249" t="s">
        <v>583</v>
      </c>
      <c r="C21" s="248"/>
      <c r="D21" s="595">
        <f>SUM(D14:D20)</f>
        <v>2913</v>
      </c>
      <c r="E21" s="583"/>
      <c r="F21" s="581">
        <f t="shared" si="0"/>
        <v>39.632653061224488</v>
      </c>
      <c r="G21" s="580"/>
      <c r="H21" s="595">
        <f>SUM(H14:H20)</f>
        <v>2107</v>
      </c>
      <c r="I21" s="580"/>
      <c r="J21" s="584">
        <f t="shared" si="1"/>
        <v>33.615188257817486</v>
      </c>
      <c r="K21" s="585"/>
      <c r="L21" s="595">
        <f>SUM(L14:L20)</f>
        <v>3210</v>
      </c>
      <c r="M21" s="586"/>
      <c r="N21" s="584">
        <f t="shared" si="2"/>
        <v>43.50772567091353</v>
      </c>
      <c r="O21" s="605"/>
      <c r="P21" s="595">
        <f>SUM(P14:P20)</f>
        <v>2590</v>
      </c>
      <c r="Q21" s="580"/>
      <c r="R21" s="582">
        <f t="shared" si="3"/>
        <v>39.840024611598217</v>
      </c>
    </row>
    <row r="22" spans="2:20" s="246" customFormat="1" ht="15.75" customHeight="1">
      <c r="B22" s="34" t="s">
        <v>584</v>
      </c>
      <c r="C22" s="248"/>
      <c r="D22" s="595">
        <v>6</v>
      </c>
      <c r="E22" s="583"/>
      <c r="F22" s="581">
        <f t="shared" si="0"/>
        <v>8.1632653061224497E-2</v>
      </c>
      <c r="G22" s="580"/>
      <c r="H22" s="600">
        <v>4</v>
      </c>
      <c r="I22" s="580"/>
      <c r="J22" s="584">
        <f t="shared" si="1"/>
        <v>6.381620931716657E-2</v>
      </c>
      <c r="K22" s="585"/>
      <c r="L22" s="595">
        <v>26</v>
      </c>
      <c r="M22" s="586"/>
      <c r="N22" s="584">
        <f t="shared" si="2"/>
        <v>0.35239902412577934</v>
      </c>
      <c r="O22" s="605"/>
      <c r="P22" s="600">
        <v>24</v>
      </c>
      <c r="Q22" s="580"/>
      <c r="R22" s="582">
        <f t="shared" si="3"/>
        <v>0.36917397323488693</v>
      </c>
    </row>
    <row r="23" spans="2:20" s="179" customFormat="1" ht="15.75" customHeight="1">
      <c r="B23" s="543" t="s">
        <v>192</v>
      </c>
      <c r="C23" s="587"/>
      <c r="D23" s="596">
        <f>D9+D13+D21+D22</f>
        <v>7350</v>
      </c>
      <c r="E23" s="588"/>
      <c r="F23" s="590">
        <f t="shared" si="0"/>
        <v>100</v>
      </c>
      <c r="G23" s="589"/>
      <c r="H23" s="596">
        <f>H9+H13+H21+H22</f>
        <v>6268</v>
      </c>
      <c r="I23" s="589"/>
      <c r="J23" s="591">
        <f t="shared" si="1"/>
        <v>100</v>
      </c>
      <c r="K23" s="592"/>
      <c r="L23" s="596">
        <f>L9+L13+L21+L22</f>
        <v>7378</v>
      </c>
      <c r="M23" s="593"/>
      <c r="N23" s="591">
        <f t="shared" si="2"/>
        <v>100</v>
      </c>
      <c r="O23" s="589"/>
      <c r="P23" s="596">
        <f>P9+P13+P21+P22</f>
        <v>6501</v>
      </c>
      <c r="Q23" s="589"/>
      <c r="R23" s="594">
        <f t="shared" si="3"/>
        <v>100</v>
      </c>
    </row>
    <row r="24" spans="2:20" ht="15.75" customHeight="1">
      <c r="B24" s="438" t="s">
        <v>413</v>
      </c>
      <c r="C24" s="438"/>
      <c r="D24" s="242"/>
      <c r="E24" s="242"/>
      <c r="F24" s="243"/>
      <c r="G24" s="242"/>
      <c r="H24" s="242"/>
      <c r="I24" s="242"/>
      <c r="J24" s="242"/>
      <c r="K24" s="243"/>
      <c r="L24" s="242"/>
      <c r="M24" s="242"/>
      <c r="N24" s="243"/>
      <c r="O24" s="242"/>
      <c r="P24" s="243"/>
      <c r="Q24" s="243"/>
      <c r="R24" s="95" t="s">
        <v>193</v>
      </c>
      <c r="S24" s="242"/>
      <c r="T24" s="95"/>
    </row>
    <row r="25" spans="2:20" ht="15.75" customHeight="1">
      <c r="B25" s="1"/>
      <c r="C25" s="1"/>
      <c r="F25" s="1"/>
      <c r="G25" s="1"/>
      <c r="H25" s="1"/>
      <c r="I25" s="1"/>
      <c r="J25" s="1"/>
      <c r="P25" s="1"/>
      <c r="Q25" s="1"/>
      <c r="R25" s="1"/>
      <c r="S25" s="1"/>
      <c r="T25" s="1"/>
    </row>
    <row r="26" spans="2:20" ht="15.75" customHeight="1">
      <c r="B26" s="652" t="s">
        <v>8</v>
      </c>
      <c r="C26" s="250" t="s">
        <v>567</v>
      </c>
      <c r="D26" s="5"/>
      <c r="E26" s="5"/>
      <c r="F26" s="5"/>
      <c r="G26" s="5"/>
      <c r="H26" s="5"/>
      <c r="I26" s="5"/>
      <c r="J26" s="88"/>
      <c r="K26" s="33"/>
      <c r="L26" s="1"/>
      <c r="M26" s="1"/>
      <c r="N26" s="1"/>
      <c r="O26" s="1"/>
      <c r="P26" s="1"/>
      <c r="Q26" s="1"/>
      <c r="R26" s="1"/>
      <c r="S26" s="1"/>
      <c r="T26" s="1"/>
    </row>
    <row r="27" spans="2:20" ht="15.75" customHeight="1">
      <c r="B27" s="653"/>
      <c r="C27" s="655" t="s">
        <v>353</v>
      </c>
      <c r="D27" s="656"/>
      <c r="E27" s="656"/>
      <c r="F27" s="657"/>
      <c r="G27" s="658" t="s">
        <v>352</v>
      </c>
      <c r="H27" s="656"/>
      <c r="I27" s="656"/>
      <c r="J27" s="659"/>
      <c r="K27" s="33"/>
      <c r="L27" s="1"/>
      <c r="M27" s="1"/>
      <c r="N27" s="1"/>
      <c r="O27" s="1"/>
      <c r="P27" s="1"/>
      <c r="Q27" s="1"/>
      <c r="R27" s="1"/>
      <c r="S27" s="1"/>
      <c r="T27" s="1"/>
    </row>
    <row r="28" spans="2:20" ht="15.75" customHeight="1">
      <c r="B28" s="653"/>
      <c r="C28" s="660" t="s">
        <v>174</v>
      </c>
      <c r="D28" s="661"/>
      <c r="E28" s="662" t="s">
        <v>175</v>
      </c>
      <c r="F28" s="661"/>
      <c r="G28" s="662" t="s">
        <v>174</v>
      </c>
      <c r="H28" s="661"/>
      <c r="I28" s="662" t="s">
        <v>175</v>
      </c>
      <c r="J28" s="663"/>
      <c r="K28" s="545"/>
      <c r="L28" s="1"/>
      <c r="M28" s="1"/>
      <c r="N28" s="1"/>
      <c r="O28" s="1"/>
      <c r="P28" s="1"/>
      <c r="Q28" s="1"/>
      <c r="R28" s="1"/>
      <c r="S28" s="1"/>
      <c r="T28" s="1"/>
    </row>
    <row r="29" spans="2:20" ht="15.75" customHeight="1">
      <c r="B29" s="654"/>
      <c r="C29" s="16"/>
      <c r="D29" s="387" t="s">
        <v>179</v>
      </c>
      <c r="E29" s="393"/>
      <c r="F29" s="387" t="s">
        <v>180</v>
      </c>
      <c r="G29" s="393"/>
      <c r="H29" s="387" t="s">
        <v>179</v>
      </c>
      <c r="I29" s="393"/>
      <c r="J29" s="388" t="s">
        <v>180</v>
      </c>
      <c r="K29" s="545"/>
      <c r="L29" s="1"/>
      <c r="M29" s="1"/>
      <c r="N29" s="1"/>
      <c r="O29" s="1"/>
      <c r="P29" s="1"/>
      <c r="Q29" s="1"/>
      <c r="R29" s="1"/>
      <c r="S29" s="1"/>
      <c r="T29" s="1"/>
    </row>
    <row r="30" spans="2:20" s="33" customFormat="1" ht="15.75" customHeight="1">
      <c r="B30" s="389" t="s">
        <v>170</v>
      </c>
      <c r="C30" s="389"/>
      <c r="D30" s="550">
        <v>1572</v>
      </c>
      <c r="E30" s="555"/>
      <c r="F30" s="394">
        <f>D30/$D$52*100</f>
        <v>21.205989477944151</v>
      </c>
      <c r="G30" s="455"/>
      <c r="H30" s="597">
        <v>1571</v>
      </c>
      <c r="I30" s="455"/>
      <c r="J30" s="399">
        <f>H30/$H$52*100</f>
        <v>23.893536121673005</v>
      </c>
      <c r="K30" s="546"/>
    </row>
    <row r="31" spans="2:20" s="33" customFormat="1" ht="15.75" customHeight="1">
      <c r="B31" s="187" t="s">
        <v>586</v>
      </c>
      <c r="C31" s="187"/>
      <c r="D31" s="551">
        <v>3</v>
      </c>
      <c r="E31" s="556"/>
      <c r="F31" s="579">
        <f>D31/$D$52*100</f>
        <v>4.0469445568595712E-2</v>
      </c>
      <c r="G31" s="456"/>
      <c r="H31" s="598">
        <v>7</v>
      </c>
      <c r="I31" s="456"/>
      <c r="J31" s="401">
        <f>H31/$H$52*100</f>
        <v>0.10646387832699621</v>
      </c>
      <c r="K31" s="547"/>
    </row>
    <row r="32" spans="2:20" s="33" customFormat="1" ht="15.75" customHeight="1">
      <c r="B32" s="187" t="s">
        <v>587</v>
      </c>
      <c r="C32" s="187"/>
      <c r="D32" s="552" t="s">
        <v>585</v>
      </c>
      <c r="E32" s="557"/>
      <c r="F32" s="552" t="s">
        <v>585</v>
      </c>
      <c r="G32" s="457"/>
      <c r="H32" s="552" t="s">
        <v>585</v>
      </c>
      <c r="I32" s="457"/>
      <c r="J32" s="400" t="s">
        <v>459</v>
      </c>
      <c r="K32" s="548"/>
    </row>
    <row r="33" spans="2:11" s="246" customFormat="1" ht="15.75" customHeight="1">
      <c r="B33" s="245" t="s">
        <v>171</v>
      </c>
      <c r="C33" s="245"/>
      <c r="D33" s="553">
        <f>SUM(D30:D32)</f>
        <v>1575</v>
      </c>
      <c r="E33" s="558"/>
      <c r="F33" s="565">
        <f t="shared" ref="F33:F52" si="4">D33/$D$52*100</f>
        <v>21.246458923512748</v>
      </c>
      <c r="G33" s="458"/>
      <c r="H33" s="553">
        <f>SUM(H30:H32)</f>
        <v>1578</v>
      </c>
      <c r="I33" s="458"/>
      <c r="J33" s="575">
        <f t="shared" ref="J33:J52" si="5">H33/$H$52*100</f>
        <v>24</v>
      </c>
      <c r="K33" s="549"/>
    </row>
    <row r="34" spans="2:11" s="246" customFormat="1" ht="15.75" customHeight="1">
      <c r="B34" s="247" t="s">
        <v>1</v>
      </c>
      <c r="C34" s="247"/>
      <c r="D34" s="553">
        <v>3</v>
      </c>
      <c r="E34" s="558"/>
      <c r="F34" s="579">
        <f t="shared" si="4"/>
        <v>4.0469445568595712E-2</v>
      </c>
      <c r="G34" s="458"/>
      <c r="H34" s="599">
        <v>2</v>
      </c>
      <c r="I34" s="458"/>
      <c r="J34" s="608">
        <f t="shared" si="5"/>
        <v>3.0418250950570342E-2</v>
      </c>
      <c r="K34" s="547"/>
    </row>
    <row r="35" spans="2:11" s="246" customFormat="1" ht="15.75" customHeight="1">
      <c r="B35" s="247" t="s">
        <v>2</v>
      </c>
      <c r="C35" s="247"/>
      <c r="D35" s="553">
        <v>659</v>
      </c>
      <c r="E35" s="558"/>
      <c r="F35" s="565">
        <f t="shared" si="4"/>
        <v>8.8897882099015231</v>
      </c>
      <c r="G35" s="458"/>
      <c r="H35" s="599">
        <v>585</v>
      </c>
      <c r="I35" s="458"/>
      <c r="J35" s="575">
        <f t="shared" si="5"/>
        <v>8.8973384030418252</v>
      </c>
      <c r="K35" s="549"/>
    </row>
    <row r="36" spans="2:11" s="246" customFormat="1" ht="15.75" customHeight="1">
      <c r="B36" s="247" t="s">
        <v>3</v>
      </c>
      <c r="C36" s="247"/>
      <c r="D36" s="553">
        <v>1600</v>
      </c>
      <c r="E36" s="558"/>
      <c r="F36" s="565">
        <f t="shared" si="4"/>
        <v>21.583704303251043</v>
      </c>
      <c r="G36" s="458"/>
      <c r="H36" s="599">
        <v>1550</v>
      </c>
      <c r="I36" s="458"/>
      <c r="J36" s="575">
        <f t="shared" si="5"/>
        <v>23.574144486692013</v>
      </c>
      <c r="K36" s="549"/>
    </row>
    <row r="37" spans="2:11" s="246" customFormat="1" ht="15.75" customHeight="1">
      <c r="B37" s="245" t="s">
        <v>172</v>
      </c>
      <c r="C37" s="245"/>
      <c r="D37" s="553">
        <f>SUM(D34:D36)</f>
        <v>2262</v>
      </c>
      <c r="E37" s="558"/>
      <c r="F37" s="565">
        <f t="shared" si="4"/>
        <v>30.513961958721165</v>
      </c>
      <c r="G37" s="458"/>
      <c r="H37" s="553">
        <f>SUM(H34:H36)</f>
        <v>2137</v>
      </c>
      <c r="I37" s="458"/>
      <c r="J37" s="575">
        <f t="shared" si="5"/>
        <v>32.50190114068441</v>
      </c>
      <c r="K37" s="549"/>
    </row>
    <row r="38" spans="2:11" s="246" customFormat="1" ht="15.75" customHeight="1">
      <c r="B38" s="247" t="s">
        <v>412</v>
      </c>
      <c r="C38" s="247"/>
      <c r="D38" s="553">
        <v>49</v>
      </c>
      <c r="E38" s="558"/>
      <c r="F38" s="565">
        <f t="shared" si="4"/>
        <v>0.66100094428706324</v>
      </c>
      <c r="G38" s="458"/>
      <c r="H38" s="599">
        <v>10</v>
      </c>
      <c r="I38" s="458"/>
      <c r="J38" s="575">
        <f t="shared" si="5"/>
        <v>0.15209125475285171</v>
      </c>
      <c r="K38" s="549"/>
    </row>
    <row r="39" spans="2:11" s="246" customFormat="1" ht="15.75" customHeight="1">
      <c r="B39" s="247" t="s">
        <v>181</v>
      </c>
      <c r="C39" s="247"/>
      <c r="D39" s="553">
        <v>49</v>
      </c>
      <c r="E39" s="558"/>
      <c r="F39" s="565">
        <f t="shared" si="4"/>
        <v>0.66100094428706324</v>
      </c>
      <c r="G39" s="580"/>
      <c r="H39" s="600">
        <v>20</v>
      </c>
      <c r="I39" s="580"/>
      <c r="J39" s="582">
        <f t="shared" si="5"/>
        <v>0.30418250950570341</v>
      </c>
      <c r="K39" s="549"/>
    </row>
    <row r="40" spans="2:11" s="246" customFormat="1" ht="15.75" customHeight="1">
      <c r="B40" s="247" t="s">
        <v>182</v>
      </c>
      <c r="C40" s="247"/>
      <c r="D40" s="553">
        <v>203</v>
      </c>
      <c r="E40" s="558"/>
      <c r="F40" s="565">
        <f t="shared" si="4"/>
        <v>2.7384324834749765</v>
      </c>
      <c r="G40" s="542"/>
      <c r="H40" s="606">
        <v>144</v>
      </c>
      <c r="I40" s="542"/>
      <c r="J40" s="577">
        <f t="shared" si="5"/>
        <v>2.1901140684410647</v>
      </c>
      <c r="K40" s="549"/>
    </row>
    <row r="41" spans="2:11" s="246" customFormat="1" ht="15.75" customHeight="1">
      <c r="B41" s="247" t="s">
        <v>183</v>
      </c>
      <c r="C41" s="247"/>
      <c r="D41" s="553">
        <v>1028</v>
      </c>
      <c r="E41" s="558"/>
      <c r="F41" s="565">
        <f t="shared" si="4"/>
        <v>13.867530014838797</v>
      </c>
      <c r="G41" s="458"/>
      <c r="H41" s="599">
        <v>997</v>
      </c>
      <c r="I41" s="458"/>
      <c r="J41" s="575">
        <f t="shared" si="5"/>
        <v>15.163498098859316</v>
      </c>
      <c r="K41" s="549"/>
    </row>
    <row r="42" spans="2:11" s="246" customFormat="1" ht="15.75" customHeight="1">
      <c r="B42" s="247" t="s">
        <v>184</v>
      </c>
      <c r="C42" s="247"/>
      <c r="D42" s="553">
        <v>93</v>
      </c>
      <c r="E42" s="558"/>
      <c r="F42" s="565">
        <f t="shared" si="4"/>
        <v>1.2545528126264671</v>
      </c>
      <c r="G42" s="458"/>
      <c r="H42" s="599">
        <v>62</v>
      </c>
      <c r="I42" s="458"/>
      <c r="J42" s="575">
        <f t="shared" si="5"/>
        <v>0.94296577946768068</v>
      </c>
      <c r="K42" s="549"/>
    </row>
    <row r="43" spans="2:11" s="246" customFormat="1" ht="15.75" customHeight="1">
      <c r="B43" s="247" t="s">
        <v>185</v>
      </c>
      <c r="C43" s="247"/>
      <c r="D43" s="553">
        <v>17</v>
      </c>
      <c r="E43" s="558"/>
      <c r="F43" s="565">
        <f t="shared" si="4"/>
        <v>0.22932685822204235</v>
      </c>
      <c r="G43" s="458"/>
      <c r="H43" s="599">
        <v>8</v>
      </c>
      <c r="I43" s="458"/>
      <c r="J43" s="575">
        <f t="shared" si="5"/>
        <v>0.12167300380228137</v>
      </c>
      <c r="K43" s="549"/>
    </row>
    <row r="44" spans="2:11" s="246" customFormat="1" ht="15.75" customHeight="1">
      <c r="B44" s="247" t="s">
        <v>186</v>
      </c>
      <c r="C44" s="247"/>
      <c r="D44" s="553">
        <v>256</v>
      </c>
      <c r="E44" s="558"/>
      <c r="F44" s="565">
        <f t="shared" si="4"/>
        <v>3.4533926885201676</v>
      </c>
      <c r="G44" s="541"/>
      <c r="H44" s="607">
        <v>181</v>
      </c>
      <c r="I44" s="541"/>
      <c r="J44" s="576">
        <f t="shared" si="5"/>
        <v>2.752851711026616</v>
      </c>
      <c r="K44" s="549"/>
    </row>
    <row r="45" spans="2:11" s="246" customFormat="1" ht="15.75" customHeight="1">
      <c r="B45" s="247" t="s">
        <v>187</v>
      </c>
      <c r="C45" s="247"/>
      <c r="D45" s="553">
        <v>644</v>
      </c>
      <c r="E45" s="558"/>
      <c r="F45" s="565">
        <f t="shared" si="4"/>
        <v>8.6874409820585452</v>
      </c>
      <c r="G45" s="580"/>
      <c r="H45" s="600">
        <v>543</v>
      </c>
      <c r="I45" s="580"/>
      <c r="J45" s="582">
        <f t="shared" si="5"/>
        <v>8.2585551330798488</v>
      </c>
      <c r="K45" s="549"/>
    </row>
    <row r="46" spans="2:11" s="246" customFormat="1" ht="15.75" customHeight="1">
      <c r="B46" s="247" t="s">
        <v>188</v>
      </c>
      <c r="C46" s="247"/>
      <c r="D46" s="553">
        <v>320</v>
      </c>
      <c r="E46" s="558"/>
      <c r="F46" s="565">
        <f t="shared" si="4"/>
        <v>4.3167408606502091</v>
      </c>
      <c r="G46" s="580"/>
      <c r="H46" s="600">
        <v>168</v>
      </c>
      <c r="I46" s="580"/>
      <c r="J46" s="582">
        <f t="shared" si="5"/>
        <v>2.5551330798479088</v>
      </c>
      <c r="K46" s="549"/>
    </row>
    <row r="47" spans="2:11" s="179" customFormat="1" ht="15.75" customHeight="1">
      <c r="B47" s="248" t="s">
        <v>189</v>
      </c>
      <c r="C47" s="248"/>
      <c r="D47" s="553">
        <v>145</v>
      </c>
      <c r="E47" s="558"/>
      <c r="F47" s="565">
        <f t="shared" si="4"/>
        <v>1.956023202482126</v>
      </c>
      <c r="G47" s="580"/>
      <c r="H47" s="600">
        <v>120</v>
      </c>
      <c r="I47" s="580"/>
      <c r="J47" s="582">
        <f t="shared" si="5"/>
        <v>1.8250950570342206</v>
      </c>
      <c r="K47" s="549"/>
    </row>
    <row r="48" spans="2:11" s="179" customFormat="1" ht="15.75" customHeight="1">
      <c r="B48" s="248" t="s">
        <v>190</v>
      </c>
      <c r="C48" s="248"/>
      <c r="D48" s="553">
        <v>570</v>
      </c>
      <c r="E48" s="558"/>
      <c r="F48" s="565">
        <f t="shared" si="4"/>
        <v>7.6891946580331858</v>
      </c>
      <c r="G48" s="542"/>
      <c r="H48" s="606">
        <v>474</v>
      </c>
      <c r="I48" s="542"/>
      <c r="J48" s="577">
        <f t="shared" si="5"/>
        <v>7.2091254752851706</v>
      </c>
      <c r="K48" s="549"/>
    </row>
    <row r="49" spans="2:20" s="179" customFormat="1" ht="15.75" customHeight="1">
      <c r="B49" s="248" t="s">
        <v>379</v>
      </c>
      <c r="C49" s="248"/>
      <c r="D49" s="553">
        <v>190</v>
      </c>
      <c r="E49" s="558"/>
      <c r="F49" s="565">
        <f t="shared" si="4"/>
        <v>2.5630648860110616</v>
      </c>
      <c r="G49" s="458"/>
      <c r="H49" s="599">
        <v>118</v>
      </c>
      <c r="I49" s="458"/>
      <c r="J49" s="575">
        <f t="shared" si="5"/>
        <v>1.79467680608365</v>
      </c>
      <c r="K49" s="549"/>
    </row>
    <row r="50" spans="2:20" s="179" customFormat="1" ht="15.75" customHeight="1">
      <c r="B50" s="249" t="s">
        <v>173</v>
      </c>
      <c r="C50" s="249"/>
      <c r="D50" s="553">
        <f>SUM(D38:D49)</f>
        <v>3564</v>
      </c>
      <c r="E50" s="558"/>
      <c r="F50" s="565">
        <f t="shared" si="4"/>
        <v>48.077701335491703</v>
      </c>
      <c r="G50" s="458"/>
      <c r="H50" s="553">
        <f>SUM(H38:H49)</f>
        <v>2845</v>
      </c>
      <c r="I50" s="458"/>
      <c r="J50" s="575">
        <f t="shared" si="5"/>
        <v>43.269961977186313</v>
      </c>
      <c r="K50" s="549"/>
    </row>
    <row r="51" spans="2:20" s="179" customFormat="1" ht="15.75" customHeight="1">
      <c r="B51" s="248" t="s">
        <v>191</v>
      </c>
      <c r="C51" s="248"/>
      <c r="D51" s="553">
        <v>12</v>
      </c>
      <c r="E51" s="558"/>
      <c r="F51" s="565">
        <f t="shared" si="4"/>
        <v>0.16187778227438285</v>
      </c>
      <c r="G51" s="458"/>
      <c r="H51" s="599">
        <v>15</v>
      </c>
      <c r="I51" s="458"/>
      <c r="J51" s="575">
        <f t="shared" si="5"/>
        <v>0.22813688212927757</v>
      </c>
      <c r="K51" s="549"/>
    </row>
    <row r="52" spans="2:20" ht="15.75" customHeight="1">
      <c r="B52" s="544" t="s">
        <v>192</v>
      </c>
      <c r="C52" s="544"/>
      <c r="D52" s="554">
        <f>D33+D37+D50+D51</f>
        <v>7413</v>
      </c>
      <c r="E52" s="559"/>
      <c r="F52" s="566">
        <f t="shared" si="4"/>
        <v>100</v>
      </c>
      <c r="G52" s="459"/>
      <c r="H52" s="554">
        <f>H33+H37+H50+H51</f>
        <v>6575</v>
      </c>
      <c r="I52" s="459"/>
      <c r="J52" s="578">
        <f t="shared" si="5"/>
        <v>100</v>
      </c>
      <c r="K52" s="546"/>
      <c r="L52" s="1"/>
      <c r="M52" s="1"/>
      <c r="N52" s="1"/>
      <c r="O52" s="1"/>
      <c r="P52" s="1"/>
      <c r="Q52" s="1"/>
      <c r="R52" s="1"/>
      <c r="S52" s="1"/>
      <c r="T52" s="1"/>
    </row>
    <row r="53" spans="2:20" ht="15.75" customHeight="1">
      <c r="B53" s="438" t="s">
        <v>413</v>
      </c>
      <c r="C53" s="438"/>
      <c r="D53" s="242"/>
      <c r="E53" s="242"/>
      <c r="F53" s="243"/>
      <c r="G53" s="243"/>
      <c r="H53" s="243"/>
      <c r="I53" s="243"/>
      <c r="J53" s="243"/>
      <c r="K53" s="243"/>
      <c r="L53" s="242"/>
      <c r="M53" s="242"/>
      <c r="N53" s="243"/>
      <c r="O53" s="1"/>
      <c r="P53" s="1"/>
      <c r="Q53" s="1"/>
      <c r="R53" s="95" t="s">
        <v>193</v>
      </c>
      <c r="S53" s="1"/>
      <c r="T53" s="1"/>
    </row>
    <row r="54" spans="2:20" ht="15.75" customHeight="1">
      <c r="O54" s="1"/>
      <c r="P54" s="1"/>
      <c r="Q54" s="1"/>
      <c r="R54" s="1"/>
      <c r="S54" s="1"/>
      <c r="T54" s="1"/>
    </row>
    <row r="55" spans="2:20" ht="15.75" customHeight="1">
      <c r="O55" s="1"/>
      <c r="P55" s="1"/>
      <c r="Q55" s="1"/>
      <c r="R55" s="1"/>
      <c r="S55" s="1"/>
      <c r="T55" s="1"/>
    </row>
    <row r="56" spans="2:20" ht="15.75" customHeight="1">
      <c r="O56" s="1"/>
      <c r="P56" s="1"/>
      <c r="Q56" s="1"/>
      <c r="R56" s="1"/>
      <c r="S56" s="1"/>
      <c r="T56" s="1"/>
    </row>
    <row r="57" spans="2:20" ht="15.75" customHeight="1">
      <c r="O57" s="1"/>
      <c r="P57" s="1"/>
      <c r="Q57" s="1"/>
      <c r="R57" s="1"/>
      <c r="S57" s="1"/>
      <c r="T57" s="1"/>
    </row>
    <row r="58" spans="2:20" ht="15.75" customHeight="1">
      <c r="O58" s="1"/>
      <c r="P58" s="1"/>
      <c r="Q58" s="1"/>
      <c r="R58" s="1"/>
      <c r="S58" s="1"/>
      <c r="T58" s="1"/>
    </row>
    <row r="59" spans="2:20" ht="15.75" customHeight="1">
      <c r="O59" s="1"/>
      <c r="P59" s="1"/>
      <c r="Q59" s="1"/>
      <c r="R59" s="1"/>
      <c r="S59" s="1"/>
      <c r="T59" s="1"/>
    </row>
    <row r="60" spans="2:20" ht="15.75" customHeight="1">
      <c r="O60" s="1"/>
      <c r="P60" s="1"/>
      <c r="Q60" s="1"/>
      <c r="R60" s="1"/>
      <c r="S60" s="1"/>
      <c r="T60" s="1"/>
    </row>
    <row r="61" spans="2:20" ht="15.75" customHeight="1">
      <c r="O61" s="1"/>
      <c r="P61" s="1"/>
      <c r="Q61" s="1"/>
      <c r="R61" s="1"/>
      <c r="S61" s="1"/>
      <c r="T61" s="1"/>
    </row>
  </sheetData>
  <mergeCells count="20">
    <mergeCell ref="M4:N4"/>
    <mergeCell ref="O4:P4"/>
    <mergeCell ref="Q4:R4"/>
    <mergeCell ref="B2:B5"/>
    <mergeCell ref="C4:D4"/>
    <mergeCell ref="E4:F4"/>
    <mergeCell ref="G4:H4"/>
    <mergeCell ref="I4:J4"/>
    <mergeCell ref="K4:L4"/>
    <mergeCell ref="C3:F3"/>
    <mergeCell ref="G3:J3"/>
    <mergeCell ref="K3:N3"/>
    <mergeCell ref="O3:R3"/>
    <mergeCell ref="B26:B29"/>
    <mergeCell ref="C27:F27"/>
    <mergeCell ref="G27:J27"/>
    <mergeCell ref="C28:D28"/>
    <mergeCell ref="E28:F28"/>
    <mergeCell ref="G28:H28"/>
    <mergeCell ref="I28:J28"/>
  </mergeCells>
  <phoneticPr fontId="3"/>
  <pageMargins left="0.59055118110236227" right="0.59055118110236227" top="1.3779527559055118" bottom="0.78740157480314965" header="0.98425196850393704" footer="0.51181102362204722"/>
  <pageSetup paperSize="9" orientation="landscape" horizontalDpi="400" verticalDpi="400" r:id="rId1"/>
  <headerFooter alignWithMargins="0">
    <oddHeader>&amp;L&amp;"HGｺﾞｼｯｸM,ﾒﾃﾞｨｳﾑ"&amp;16産業大分類別就業者数&amp;R&amp;"HGｺﾞｼｯｸM,ﾒﾃﾞｨｳﾑ"
高森町　②産業　C0201-1産業大分類別就業者数</oddHeader>
    <oddFooter>&amp;R&amp;"HGｺﾞｼｯｸM,ﾒﾃﾞｨｳﾑ"C0201-1産業大分類別就業者数　&amp;P/7</oddFooter>
  </headerFooter>
  <rowBreaks count="1" manualBreakCount="1">
    <brk id="24" max="16383" man="1"/>
  </rowBreaks>
  <drawing r:id="rId2"/>
</worksheet>
</file>

<file path=xl/worksheets/sheet10.xml><?xml version="1.0" encoding="utf-8"?>
<worksheet xmlns="http://schemas.openxmlformats.org/spreadsheetml/2006/main" xmlns:r="http://schemas.openxmlformats.org/officeDocument/2006/relationships">
  <dimension ref="A1:X116"/>
  <sheetViews>
    <sheetView showGridLines="0" topLeftCell="A76" zoomScale="85" zoomScaleNormal="85" zoomScaleSheetLayoutView="55" workbookViewId="0">
      <selection activeCell="C116" sqref="C116"/>
    </sheetView>
  </sheetViews>
  <sheetFormatPr defaultColWidth="8.875" defaultRowHeight="18" customHeight="1"/>
  <cols>
    <col min="1" max="1" width="1.75" style="1" customWidth="1"/>
    <col min="2" max="2" width="8.625" style="94" customWidth="1"/>
    <col min="3" max="3" width="21.875" style="1" bestFit="1" customWidth="1"/>
    <col min="4" max="4" width="1.375" style="1" customWidth="1"/>
    <col min="5" max="14" width="10.125" style="1" customWidth="1"/>
    <col min="15" max="16" width="1.75" style="1" customWidth="1"/>
    <col min="17" max="16384" width="8.875" style="1"/>
  </cols>
  <sheetData>
    <row r="1" spans="2:24" ht="15" hidden="1" customHeight="1">
      <c r="L1" s="95" t="s">
        <v>46</v>
      </c>
      <c r="M1" s="95"/>
      <c r="N1" s="95"/>
      <c r="U1" s="33"/>
      <c r="V1" s="33"/>
      <c r="W1" s="132"/>
      <c r="X1" s="132"/>
    </row>
    <row r="2" spans="2:24" ht="20.100000000000001" hidden="1" customHeight="1">
      <c r="B2" s="652" t="s">
        <v>45</v>
      </c>
      <c r="C2" s="685"/>
      <c r="D2" s="686"/>
      <c r="E2" s="714" t="s">
        <v>362</v>
      </c>
      <c r="F2" s="715"/>
      <c r="G2" s="715"/>
      <c r="H2" s="715"/>
      <c r="I2" s="715"/>
      <c r="J2" s="715"/>
      <c r="K2" s="715"/>
      <c r="L2" s="716"/>
      <c r="M2" s="351"/>
      <c r="N2" s="351"/>
      <c r="U2" s="33"/>
      <c r="V2" s="33"/>
      <c r="W2" s="132"/>
      <c r="X2" s="132"/>
    </row>
    <row r="3" spans="2:24" ht="20.100000000000001" hidden="1" customHeight="1">
      <c r="B3" s="712"/>
      <c r="C3" s="720"/>
      <c r="D3" s="713"/>
      <c r="E3" s="362" t="s">
        <v>165</v>
      </c>
      <c r="F3" s="363"/>
      <c r="G3" s="362" t="s">
        <v>78</v>
      </c>
      <c r="H3" s="363"/>
      <c r="I3" s="362" t="s">
        <v>79</v>
      </c>
      <c r="J3" s="364"/>
      <c r="K3" s="362" t="s">
        <v>80</v>
      </c>
      <c r="L3" s="364"/>
      <c r="S3" s="33"/>
      <c r="T3" s="33"/>
    </row>
    <row r="4" spans="2:24" ht="18" hidden="1" customHeight="1">
      <c r="B4" s="96"/>
      <c r="C4" s="97"/>
      <c r="D4" s="97"/>
      <c r="E4" s="371"/>
      <c r="F4" s="327"/>
      <c r="G4" s="371"/>
      <c r="H4" s="327"/>
      <c r="I4" s="371"/>
      <c r="J4" s="327"/>
      <c r="K4" s="371"/>
      <c r="L4" s="327"/>
      <c r="M4" s="114"/>
      <c r="N4" s="114"/>
      <c r="U4" s="33"/>
      <c r="V4" s="33"/>
    </row>
    <row r="5" spans="2:24" ht="18" hidden="1" customHeight="1">
      <c r="B5" s="100" t="s">
        <v>82</v>
      </c>
      <c r="C5" s="59"/>
      <c r="D5" s="59"/>
      <c r="E5" s="370"/>
      <c r="F5" s="169">
        <f>SUM(F13:F21)+F8</f>
        <v>6368</v>
      </c>
      <c r="G5" s="370"/>
      <c r="H5" s="169">
        <f>SUM(H13:H21)+H8</f>
        <v>8305</v>
      </c>
      <c r="I5" s="370"/>
      <c r="J5" s="169">
        <f>SUM(J13:J21)+J8</f>
        <v>8782</v>
      </c>
      <c r="K5" s="370"/>
      <c r="L5" s="169">
        <v>11332</v>
      </c>
      <c r="M5" s="114"/>
      <c r="N5" s="114"/>
      <c r="U5" s="33"/>
      <c r="V5" s="33"/>
    </row>
    <row r="6" spans="2:24" ht="18" hidden="1" customHeight="1">
      <c r="B6" s="100"/>
      <c r="C6" s="59"/>
      <c r="D6" s="59"/>
      <c r="E6" s="368"/>
      <c r="F6" s="333"/>
      <c r="G6" s="368"/>
      <c r="H6" s="333"/>
      <c r="I6" s="368"/>
      <c r="J6" s="333"/>
      <c r="K6" s="368"/>
      <c r="L6" s="333"/>
      <c r="M6" s="114"/>
      <c r="N6" s="114"/>
      <c r="V6" s="85"/>
    </row>
    <row r="7" spans="2:24" ht="18" hidden="1" customHeight="1">
      <c r="B7" s="101"/>
      <c r="C7" s="67"/>
      <c r="D7" s="67"/>
      <c r="E7" s="366"/>
      <c r="F7" s="158"/>
      <c r="G7" s="366"/>
      <c r="H7" s="158"/>
      <c r="I7" s="366"/>
      <c r="J7" s="158"/>
      <c r="K7" s="366"/>
      <c r="L7" s="158"/>
      <c r="M7" s="114"/>
      <c r="N7" s="114"/>
    </row>
    <row r="8" spans="2:24" ht="18" hidden="1" customHeight="1">
      <c r="B8" s="102" t="s">
        <v>87</v>
      </c>
      <c r="C8" s="103" t="s">
        <v>88</v>
      </c>
      <c r="D8" s="103"/>
      <c r="E8" s="366"/>
      <c r="F8" s="158">
        <v>1684</v>
      </c>
      <c r="G8" s="366"/>
      <c r="H8" s="158">
        <v>1568</v>
      </c>
      <c r="I8" s="366"/>
      <c r="J8" s="158">
        <v>2081</v>
      </c>
      <c r="K8" s="366"/>
      <c r="L8" s="158">
        <v>3690</v>
      </c>
      <c r="M8" s="114"/>
      <c r="N8" s="114"/>
    </row>
    <row r="9" spans="2:24" ht="18" hidden="1" customHeight="1">
      <c r="B9" s="102" t="s">
        <v>89</v>
      </c>
      <c r="C9" s="103" t="s">
        <v>90</v>
      </c>
      <c r="D9" s="103"/>
      <c r="E9" s="366"/>
      <c r="F9" s="158" t="s">
        <v>133</v>
      </c>
      <c r="G9" s="366"/>
      <c r="H9" s="158" t="s">
        <v>133</v>
      </c>
      <c r="I9" s="366"/>
      <c r="J9" s="158" t="s">
        <v>133</v>
      </c>
      <c r="K9" s="366"/>
      <c r="L9" s="158" t="s">
        <v>125</v>
      </c>
      <c r="M9" s="114"/>
      <c r="N9" s="114"/>
    </row>
    <row r="10" spans="2:24" ht="18" hidden="1" customHeight="1">
      <c r="B10" s="102"/>
      <c r="C10" s="103"/>
      <c r="D10" s="103"/>
      <c r="E10" s="366"/>
      <c r="F10" s="158"/>
      <c r="G10" s="366"/>
      <c r="H10" s="158"/>
      <c r="I10" s="366"/>
      <c r="J10" s="158"/>
      <c r="K10" s="366"/>
      <c r="L10" s="158"/>
      <c r="M10" s="114"/>
      <c r="N10" s="114"/>
    </row>
    <row r="11" spans="2:24" ht="18" hidden="1" customHeight="1">
      <c r="B11" s="104" t="s">
        <v>83</v>
      </c>
      <c r="C11" s="62"/>
      <c r="D11" s="62"/>
      <c r="E11" s="366"/>
      <c r="F11" s="158">
        <f>SUM(F14:F21)</f>
        <v>4684</v>
      </c>
      <c r="G11" s="366"/>
      <c r="H11" s="158">
        <f>SUM(H14:H21)</f>
        <v>6737</v>
      </c>
      <c r="I11" s="366"/>
      <c r="J11" s="158">
        <f>SUM(J14:J21)</f>
        <v>6701</v>
      </c>
      <c r="K11" s="366"/>
      <c r="L11" s="158">
        <f>SUM(L14:L21)</f>
        <v>7640</v>
      </c>
      <c r="M11" s="114"/>
      <c r="N11" s="114"/>
    </row>
    <row r="12" spans="2:24" ht="18" hidden="1" customHeight="1">
      <c r="B12" s="104"/>
      <c r="C12" s="62"/>
      <c r="D12" s="62"/>
      <c r="E12" s="366"/>
      <c r="F12" s="158"/>
      <c r="G12" s="366"/>
      <c r="H12" s="158"/>
      <c r="I12" s="366"/>
      <c r="J12" s="158"/>
      <c r="K12" s="366"/>
      <c r="L12" s="158"/>
      <c r="M12" s="114"/>
      <c r="N12" s="114"/>
    </row>
    <row r="13" spans="2:24" ht="18" hidden="1" customHeight="1">
      <c r="B13" s="102" t="s">
        <v>91</v>
      </c>
      <c r="C13" s="103" t="s">
        <v>92</v>
      </c>
      <c r="D13" s="103"/>
      <c r="E13" s="366"/>
      <c r="F13" s="158" t="s">
        <v>133</v>
      </c>
      <c r="G13" s="366"/>
      <c r="H13" s="158" t="s">
        <v>133</v>
      </c>
      <c r="I13" s="366"/>
      <c r="J13" s="158" t="s">
        <v>133</v>
      </c>
      <c r="K13" s="366"/>
      <c r="L13" s="158" t="s">
        <v>125</v>
      </c>
      <c r="M13" s="114"/>
      <c r="N13" s="114"/>
    </row>
    <row r="14" spans="2:24" ht="18" hidden="1" customHeight="1">
      <c r="B14" s="105" t="s">
        <v>93</v>
      </c>
      <c r="C14" s="106" t="s">
        <v>94</v>
      </c>
      <c r="D14" s="106"/>
      <c r="E14" s="369"/>
      <c r="F14" s="171"/>
      <c r="G14" s="369"/>
      <c r="H14" s="171"/>
      <c r="I14" s="369"/>
      <c r="J14" s="171"/>
      <c r="K14" s="369"/>
      <c r="L14" s="171"/>
      <c r="M14" s="114"/>
      <c r="N14" s="114"/>
    </row>
    <row r="15" spans="2:24" s="33" customFormat="1" ht="18" hidden="1" customHeight="1">
      <c r="B15" s="107"/>
      <c r="C15" s="108" t="s">
        <v>95</v>
      </c>
      <c r="D15" s="108"/>
      <c r="E15" s="368"/>
      <c r="F15" s="333">
        <v>476</v>
      </c>
      <c r="G15" s="368"/>
      <c r="H15" s="333">
        <v>576</v>
      </c>
      <c r="I15" s="368"/>
      <c r="J15" s="333">
        <v>641</v>
      </c>
      <c r="K15" s="368"/>
      <c r="L15" s="333">
        <v>744</v>
      </c>
      <c r="M15" s="114"/>
      <c r="N15" s="114"/>
    </row>
    <row r="16" spans="2:24" ht="18" hidden="1" customHeight="1">
      <c r="B16" s="102" t="s">
        <v>96</v>
      </c>
      <c r="C16" s="103" t="s">
        <v>97</v>
      </c>
      <c r="D16" s="103"/>
      <c r="E16" s="366"/>
      <c r="F16" s="158">
        <v>1779</v>
      </c>
      <c r="G16" s="366"/>
      <c r="H16" s="158">
        <v>2307</v>
      </c>
      <c r="I16" s="366"/>
      <c r="J16" s="158">
        <v>2427</v>
      </c>
      <c r="K16" s="366"/>
      <c r="L16" s="158">
        <v>2582</v>
      </c>
      <c r="M16" s="114"/>
      <c r="N16" s="114"/>
    </row>
    <row r="17" spans="2:22" ht="18" hidden="1" customHeight="1">
      <c r="B17" s="102" t="s">
        <v>98</v>
      </c>
      <c r="C17" s="103" t="s">
        <v>99</v>
      </c>
      <c r="D17" s="103"/>
      <c r="E17" s="366"/>
      <c r="F17" s="158"/>
      <c r="G17" s="366"/>
      <c r="H17" s="158">
        <v>611</v>
      </c>
      <c r="I17" s="366"/>
      <c r="J17" s="158" t="s">
        <v>133</v>
      </c>
      <c r="K17" s="366"/>
      <c r="L17" s="158" t="s">
        <v>125</v>
      </c>
      <c r="M17" s="114"/>
      <c r="N17" s="114"/>
    </row>
    <row r="18" spans="2:22" ht="18" hidden="1" customHeight="1">
      <c r="B18" s="102" t="s">
        <v>101</v>
      </c>
      <c r="C18" s="103" t="s">
        <v>102</v>
      </c>
      <c r="D18" s="103"/>
      <c r="E18" s="366"/>
      <c r="F18" s="158">
        <v>120</v>
      </c>
      <c r="G18" s="366"/>
      <c r="H18" s="158">
        <v>148</v>
      </c>
      <c r="I18" s="366"/>
      <c r="J18" s="158">
        <v>398</v>
      </c>
      <c r="K18" s="366"/>
      <c r="L18" s="158">
        <v>1112</v>
      </c>
      <c r="M18" s="114"/>
      <c r="N18" s="114"/>
    </row>
    <row r="19" spans="2:22" ht="18" hidden="1" customHeight="1">
      <c r="B19" s="105" t="s">
        <v>103</v>
      </c>
      <c r="C19" s="106" t="s">
        <v>104</v>
      </c>
      <c r="D19" s="106"/>
      <c r="E19" s="369"/>
      <c r="F19" s="171"/>
      <c r="G19" s="369"/>
      <c r="H19" s="171"/>
      <c r="I19" s="369"/>
      <c r="J19" s="171"/>
      <c r="K19" s="369"/>
      <c r="L19" s="171"/>
      <c r="M19" s="114"/>
      <c r="N19" s="114"/>
    </row>
    <row r="20" spans="2:22" s="33" customFormat="1" ht="18" hidden="1" customHeight="1">
      <c r="B20" s="107"/>
      <c r="C20" s="108" t="s">
        <v>95</v>
      </c>
      <c r="D20" s="108"/>
      <c r="E20" s="368"/>
      <c r="F20" s="333">
        <v>441</v>
      </c>
      <c r="G20" s="368"/>
      <c r="H20" s="333">
        <v>744</v>
      </c>
      <c r="I20" s="368"/>
      <c r="J20" s="333">
        <v>830</v>
      </c>
      <c r="K20" s="368"/>
      <c r="L20" s="333">
        <v>735</v>
      </c>
      <c r="M20" s="114"/>
      <c r="N20" s="114"/>
    </row>
    <row r="21" spans="2:22" ht="18" hidden="1" customHeight="1">
      <c r="B21" s="110" t="s">
        <v>106</v>
      </c>
      <c r="C21" s="111" t="s">
        <v>107</v>
      </c>
      <c r="D21" s="111"/>
      <c r="E21" s="367"/>
      <c r="F21" s="170">
        <v>1868</v>
      </c>
      <c r="G21" s="367"/>
      <c r="H21" s="170">
        <v>2351</v>
      </c>
      <c r="I21" s="367"/>
      <c r="J21" s="170">
        <v>2405</v>
      </c>
      <c r="K21" s="367"/>
      <c r="L21" s="170">
        <v>2467</v>
      </c>
      <c r="M21" s="114"/>
      <c r="N21" s="114"/>
    </row>
    <row r="22" spans="2:22" ht="15" hidden="1" customHeight="1">
      <c r="B22" s="112"/>
      <c r="C22" s="113"/>
      <c r="D22" s="113"/>
      <c r="E22" s="30"/>
      <c r="F22" s="30"/>
      <c r="G22" s="30"/>
      <c r="H22" s="30"/>
      <c r="I22" s="30"/>
      <c r="K22" s="30"/>
      <c r="L22" s="95" t="s">
        <v>167</v>
      </c>
      <c r="M22" s="95"/>
      <c r="N22" s="95"/>
    </row>
    <row r="23" spans="2:22" ht="15" hidden="1" customHeight="1">
      <c r="C23" s="113"/>
      <c r="D23" s="113"/>
      <c r="E23" s="30"/>
      <c r="F23" s="30"/>
      <c r="G23" s="30"/>
      <c r="H23" s="30"/>
      <c r="I23" s="30"/>
      <c r="J23" s="30"/>
      <c r="K23" s="30"/>
      <c r="L23" s="30"/>
      <c r="M23" s="30"/>
      <c r="N23" s="30"/>
    </row>
    <row r="24" spans="2:22" ht="15" hidden="1" customHeight="1">
      <c r="C24" s="113"/>
      <c r="D24" s="113"/>
      <c r="E24" s="30"/>
      <c r="F24" s="30"/>
      <c r="G24" s="30"/>
      <c r="H24" s="30"/>
      <c r="I24" s="30"/>
      <c r="J24" s="30"/>
      <c r="K24" s="30"/>
      <c r="L24" s="30"/>
      <c r="M24" s="30"/>
      <c r="N24" s="30"/>
    </row>
    <row r="25" spans="2:22" ht="15" hidden="1" customHeight="1">
      <c r="C25" s="113"/>
      <c r="D25" s="113"/>
      <c r="E25" s="30"/>
      <c r="F25" s="30"/>
      <c r="G25" s="30"/>
      <c r="H25" s="30"/>
      <c r="I25" s="30"/>
      <c r="J25" s="30"/>
      <c r="K25" s="30"/>
      <c r="L25" s="30"/>
      <c r="M25" s="30"/>
      <c r="N25" s="30"/>
    </row>
    <row r="26" spans="2:22" ht="15" hidden="1" customHeight="1">
      <c r="C26" s="113"/>
      <c r="D26" s="113"/>
      <c r="E26" s="30"/>
      <c r="F26" s="30"/>
      <c r="G26" s="30"/>
      <c r="H26" s="30"/>
      <c r="I26" s="30"/>
      <c r="J26" s="30"/>
      <c r="K26" s="30"/>
      <c r="L26" s="30"/>
      <c r="M26" s="30"/>
      <c r="N26" s="30"/>
    </row>
    <row r="27" spans="2:22" ht="15" hidden="1" customHeight="1"/>
    <row r="28" spans="2:22" ht="15" customHeight="1">
      <c r="M28" s="95"/>
      <c r="N28" s="95" t="s">
        <v>46</v>
      </c>
      <c r="S28" s="85" t="s">
        <v>482</v>
      </c>
    </row>
    <row r="29" spans="2:22" ht="15" customHeight="1">
      <c r="B29" s="652" t="s">
        <v>45</v>
      </c>
      <c r="C29" s="707"/>
      <c r="D29" s="721"/>
      <c r="E29" s="6" t="s">
        <v>81</v>
      </c>
      <c r="F29" s="88"/>
      <c r="G29" s="6" t="s">
        <v>84</v>
      </c>
      <c r="H29" s="5"/>
      <c r="I29" s="6" t="s">
        <v>85</v>
      </c>
      <c r="J29" s="88"/>
      <c r="K29" s="4" t="s">
        <v>86</v>
      </c>
      <c r="L29" s="88"/>
      <c r="M29" s="6" t="s">
        <v>366</v>
      </c>
      <c r="N29" s="7"/>
      <c r="Q29" s="180" t="s">
        <v>77</v>
      </c>
      <c r="R29" s="180"/>
      <c r="S29" s="180"/>
    </row>
    <row r="30" spans="2:22" ht="15" customHeight="1">
      <c r="B30" s="684"/>
      <c r="C30" s="722"/>
      <c r="D30" s="723"/>
      <c r="E30" s="724" t="s">
        <v>166</v>
      </c>
      <c r="F30" s="372" t="s">
        <v>358</v>
      </c>
      <c r="G30" s="724" t="s">
        <v>166</v>
      </c>
      <c r="H30" s="372" t="s">
        <v>358</v>
      </c>
      <c r="I30" s="724" t="s">
        <v>166</v>
      </c>
      <c r="J30" s="372" t="s">
        <v>358</v>
      </c>
      <c r="K30" s="724" t="s">
        <v>166</v>
      </c>
      <c r="L30" s="372" t="s">
        <v>358</v>
      </c>
      <c r="M30" s="724" t="s">
        <v>166</v>
      </c>
      <c r="N30" s="372" t="s">
        <v>358</v>
      </c>
      <c r="Q30" s="180"/>
      <c r="R30" s="180"/>
      <c r="S30" s="180"/>
    </row>
    <row r="31" spans="2:22" ht="15" customHeight="1">
      <c r="B31" s="708"/>
      <c r="C31" s="709"/>
      <c r="D31" s="718"/>
      <c r="E31" s="725"/>
      <c r="F31" s="373" t="s">
        <v>365</v>
      </c>
      <c r="G31" s="725"/>
      <c r="H31" s="373" t="s">
        <v>365</v>
      </c>
      <c r="I31" s="725"/>
      <c r="J31" s="373" t="s">
        <v>365</v>
      </c>
      <c r="K31" s="725"/>
      <c r="L31" s="373" t="s">
        <v>365</v>
      </c>
      <c r="M31" s="725"/>
      <c r="N31" s="373" t="s">
        <v>365</v>
      </c>
      <c r="Q31" s="181" t="s">
        <v>518</v>
      </c>
      <c r="R31" s="181">
        <f t="shared" ref="R31:R58" si="0">S31/100</f>
        <v>0.91200000000000003</v>
      </c>
      <c r="S31" s="181">
        <v>91.2</v>
      </c>
      <c r="T31" s="1">
        <v>1990</v>
      </c>
      <c r="U31" s="295"/>
      <c r="V31" s="295"/>
    </row>
    <row r="32" spans="2:22" ht="12" customHeight="1">
      <c r="B32" s="96"/>
      <c r="C32" s="97"/>
      <c r="D32" s="97"/>
      <c r="E32" s="98"/>
      <c r="F32" s="117"/>
      <c r="G32" s="98"/>
      <c r="H32" s="117"/>
      <c r="I32" s="98"/>
      <c r="J32" s="117"/>
      <c r="K32" s="99"/>
      <c r="L32" s="117"/>
      <c r="M32" s="98"/>
      <c r="N32" s="117"/>
      <c r="Q32" s="181" t="s">
        <v>519</v>
      </c>
      <c r="R32" s="181">
        <f t="shared" si="0"/>
        <v>0.94299999999999995</v>
      </c>
      <c r="S32" s="181">
        <v>94.3</v>
      </c>
      <c r="T32" s="1">
        <v>1991</v>
      </c>
      <c r="U32" s="295"/>
      <c r="V32" s="295"/>
    </row>
    <row r="33" spans="2:22" ht="18" customHeight="1">
      <c r="B33" s="100" t="s">
        <v>82</v>
      </c>
      <c r="C33" s="59"/>
      <c r="D33" s="59"/>
      <c r="E33" s="79">
        <v>14120</v>
      </c>
      <c r="F33" s="80">
        <f>SUM(F36:F39)</f>
        <v>14973</v>
      </c>
      <c r="G33" s="79">
        <v>14399</v>
      </c>
      <c r="H33" s="80">
        <f>SUM(H36:H39)</f>
        <v>14738</v>
      </c>
      <c r="I33" s="79">
        <f>SUM(I41:I49)+I36</f>
        <v>23882</v>
      </c>
      <c r="J33" s="80">
        <f>SUM(J36:J39)</f>
        <v>24002</v>
      </c>
      <c r="K33" s="29">
        <v>27652</v>
      </c>
      <c r="L33" s="80">
        <f>SUM(L36:L39)</f>
        <v>27708</v>
      </c>
      <c r="M33" s="79">
        <f>2828492/100</f>
        <v>28284.92</v>
      </c>
      <c r="N33" s="80">
        <f>SUM(N36:N39)</f>
        <v>29010</v>
      </c>
      <c r="Q33" s="181" t="s">
        <v>520</v>
      </c>
      <c r="R33" s="181">
        <f t="shared" si="0"/>
        <v>0.95799999999999996</v>
      </c>
      <c r="S33" s="181">
        <v>95.8</v>
      </c>
      <c r="T33" s="1">
        <v>1992</v>
      </c>
      <c r="U33" s="295"/>
      <c r="V33" s="295"/>
    </row>
    <row r="34" spans="2:22" ht="12" customHeight="1">
      <c r="B34" s="100"/>
      <c r="C34" s="59"/>
      <c r="D34" s="59"/>
      <c r="E34" s="79"/>
      <c r="F34" s="92"/>
      <c r="G34" s="79"/>
      <c r="H34" s="92"/>
      <c r="I34" s="79"/>
      <c r="J34" s="92"/>
      <c r="K34" s="29"/>
      <c r="L34" s="92"/>
      <c r="M34" s="79"/>
      <c r="N34" s="92"/>
      <c r="Q34" s="181" t="s">
        <v>521</v>
      </c>
      <c r="R34" s="181">
        <f t="shared" si="0"/>
        <v>0.97099999999999997</v>
      </c>
      <c r="S34" s="181">
        <v>97.1</v>
      </c>
      <c r="T34" s="1">
        <v>1993</v>
      </c>
      <c r="U34" s="295"/>
      <c r="V34" s="295"/>
    </row>
    <row r="35" spans="2:22" ht="18" customHeight="1">
      <c r="B35" s="101"/>
      <c r="C35" s="67"/>
      <c r="D35" s="67"/>
      <c r="E35" s="81"/>
      <c r="F35" s="82"/>
      <c r="G35" s="81"/>
      <c r="H35" s="82"/>
      <c r="I35" s="81"/>
      <c r="J35" s="82"/>
      <c r="K35" s="40"/>
      <c r="L35" s="82"/>
      <c r="M35" s="81"/>
      <c r="N35" s="82"/>
      <c r="Q35" s="181" t="s">
        <v>522</v>
      </c>
      <c r="R35" s="181">
        <f t="shared" si="0"/>
        <v>0.97699999999999998</v>
      </c>
      <c r="S35" s="181">
        <v>97.7</v>
      </c>
      <c r="T35" s="1">
        <v>1994</v>
      </c>
      <c r="U35" s="295"/>
      <c r="V35" s="295"/>
    </row>
    <row r="36" spans="2:22" ht="18" customHeight="1">
      <c r="B36" s="102" t="s">
        <v>87</v>
      </c>
      <c r="C36" s="103" t="s">
        <v>88</v>
      </c>
      <c r="D36" s="103"/>
      <c r="E36" s="81">
        <v>4683</v>
      </c>
      <c r="F36" s="82">
        <f>ROUND(E36/$R$32,0)</f>
        <v>4966</v>
      </c>
      <c r="G36" s="81">
        <v>3997</v>
      </c>
      <c r="H36" s="82">
        <f>ROUND(G36/$R$35,0)</f>
        <v>4091</v>
      </c>
      <c r="I36" s="81">
        <v>12530</v>
      </c>
      <c r="J36" s="82">
        <f>ROUND(I36/$R$38,0)</f>
        <v>12593</v>
      </c>
      <c r="K36" s="40">
        <v>15297</v>
      </c>
      <c r="L36" s="82">
        <f>ROUND(K36/$R$40,0)</f>
        <v>15328</v>
      </c>
      <c r="M36" s="81">
        <f>1397657/100</f>
        <v>13976.57</v>
      </c>
      <c r="N36" s="82">
        <f>ROUND(M36/$R$43,0)</f>
        <v>14335</v>
      </c>
      <c r="Q36" s="181" t="s">
        <v>523</v>
      </c>
      <c r="R36" s="181">
        <f t="shared" si="0"/>
        <v>0.97599999999999998</v>
      </c>
      <c r="S36" s="181">
        <v>97.6</v>
      </c>
      <c r="T36" s="1">
        <v>1995</v>
      </c>
      <c r="U36" s="295"/>
      <c r="V36" s="295"/>
    </row>
    <row r="37" spans="2:22" ht="18" customHeight="1">
      <c r="B37" s="102" t="s">
        <v>89</v>
      </c>
      <c r="C37" s="103" t="s">
        <v>90</v>
      </c>
      <c r="D37" s="103"/>
      <c r="E37" s="159" t="s">
        <v>125</v>
      </c>
      <c r="F37" s="172" t="s">
        <v>125</v>
      </c>
      <c r="G37" s="159" t="s">
        <v>133</v>
      </c>
      <c r="H37" s="172" t="s">
        <v>133</v>
      </c>
      <c r="I37" s="159" t="s">
        <v>133</v>
      </c>
      <c r="J37" s="172" t="s">
        <v>133</v>
      </c>
      <c r="K37" s="119" t="s">
        <v>125</v>
      </c>
      <c r="L37" s="172" t="s">
        <v>125</v>
      </c>
      <c r="M37" s="159" t="s">
        <v>125</v>
      </c>
      <c r="N37" s="172" t="s">
        <v>125</v>
      </c>
      <c r="Q37" s="181" t="s">
        <v>524</v>
      </c>
      <c r="R37" s="181">
        <f t="shared" si="0"/>
        <v>0.97699999999999998</v>
      </c>
      <c r="S37" s="181">
        <v>97.7</v>
      </c>
      <c r="T37" s="1">
        <v>1996</v>
      </c>
      <c r="U37" s="295"/>
      <c r="V37" s="295"/>
    </row>
    <row r="38" spans="2:22" ht="18" customHeight="1">
      <c r="B38" s="102"/>
      <c r="C38" s="103"/>
      <c r="D38" s="103"/>
      <c r="E38" s="81"/>
      <c r="F38" s="82"/>
      <c r="G38" s="86"/>
      <c r="H38" s="120"/>
      <c r="I38" s="81"/>
      <c r="J38" s="82"/>
      <c r="K38" s="40"/>
      <c r="L38" s="82"/>
      <c r="M38" s="81"/>
      <c r="N38" s="82"/>
      <c r="Q38" s="181" t="s">
        <v>525</v>
      </c>
      <c r="R38" s="181">
        <f t="shared" si="0"/>
        <v>0.995</v>
      </c>
      <c r="S38" s="181">
        <v>99.5</v>
      </c>
      <c r="T38" s="1">
        <v>1997</v>
      </c>
      <c r="U38" s="295"/>
      <c r="V38" s="295"/>
    </row>
    <row r="39" spans="2:22" ht="18" customHeight="1">
      <c r="B39" s="104" t="s">
        <v>83</v>
      </c>
      <c r="C39" s="62"/>
      <c r="D39" s="62"/>
      <c r="E39" s="81">
        <v>9437</v>
      </c>
      <c r="F39" s="82">
        <f>ROUND(E39/$R$32,0)</f>
        <v>10007</v>
      </c>
      <c r="G39" s="159">
        <v>10402</v>
      </c>
      <c r="H39" s="172">
        <f>ROUND(G39/$R$35,0)</f>
        <v>10647</v>
      </c>
      <c r="I39" s="81">
        <f>SUM(I42:I49)</f>
        <v>11352</v>
      </c>
      <c r="J39" s="82">
        <f>ROUND(I39/$R$38,0)</f>
        <v>11409</v>
      </c>
      <c r="K39" s="40">
        <v>12355</v>
      </c>
      <c r="L39" s="82">
        <f>ROUND(K39/$R$40,0)</f>
        <v>12380</v>
      </c>
      <c r="M39" s="81">
        <f>1430835/100</f>
        <v>14308.35</v>
      </c>
      <c r="N39" s="82">
        <f>ROUND(M39/$R$43,0)</f>
        <v>14675</v>
      </c>
      <c r="Q39" s="181" t="s">
        <v>526</v>
      </c>
      <c r="R39" s="181">
        <f t="shared" si="0"/>
        <v>1.0009999999999999</v>
      </c>
      <c r="S39" s="181">
        <v>100.1</v>
      </c>
      <c r="T39" s="1">
        <v>1998</v>
      </c>
      <c r="U39" s="295"/>
      <c r="V39" s="295"/>
    </row>
    <row r="40" spans="2:22" ht="18" customHeight="1">
      <c r="B40" s="104"/>
      <c r="C40" s="62"/>
      <c r="D40" s="62"/>
      <c r="E40" s="81"/>
      <c r="F40" s="82"/>
      <c r="G40" s="86"/>
      <c r="H40" s="120"/>
      <c r="I40" s="81"/>
      <c r="J40" s="82"/>
      <c r="K40" s="40"/>
      <c r="L40" s="82"/>
      <c r="M40" s="81"/>
      <c r="N40" s="82"/>
      <c r="Q40" s="181" t="s">
        <v>527</v>
      </c>
      <c r="R40" s="181">
        <f t="shared" si="0"/>
        <v>0.998</v>
      </c>
      <c r="S40" s="181">
        <v>99.8</v>
      </c>
      <c r="T40" s="1">
        <v>1999</v>
      </c>
      <c r="U40" s="295"/>
      <c r="V40" s="295"/>
    </row>
    <row r="41" spans="2:22" ht="18" customHeight="1">
      <c r="B41" s="102" t="s">
        <v>91</v>
      </c>
      <c r="C41" s="103" t="s">
        <v>92</v>
      </c>
      <c r="D41" s="103"/>
      <c r="E41" s="442" t="s">
        <v>125</v>
      </c>
      <c r="F41" s="172" t="s">
        <v>125</v>
      </c>
      <c r="G41" s="159" t="s">
        <v>133</v>
      </c>
      <c r="H41" s="172" t="s">
        <v>159</v>
      </c>
      <c r="I41" s="173" t="s">
        <v>133</v>
      </c>
      <c r="J41" s="172" t="s">
        <v>159</v>
      </c>
      <c r="K41" s="173" t="s">
        <v>125</v>
      </c>
      <c r="L41" s="172" t="s">
        <v>125</v>
      </c>
      <c r="M41" s="442" t="s">
        <v>125</v>
      </c>
      <c r="N41" s="172" t="s">
        <v>125</v>
      </c>
      <c r="Q41" s="181" t="s">
        <v>528</v>
      </c>
      <c r="R41" s="181">
        <f t="shared" si="0"/>
        <v>0.99099999999999999</v>
      </c>
      <c r="S41" s="181">
        <v>99.1</v>
      </c>
      <c r="T41" s="1">
        <v>2000</v>
      </c>
      <c r="U41" s="295"/>
      <c r="V41" s="295"/>
    </row>
    <row r="42" spans="2:22" ht="18" customHeight="1">
      <c r="B42" s="105" t="s">
        <v>93</v>
      </c>
      <c r="C42" s="106" t="s">
        <v>428</v>
      </c>
      <c r="D42" s="106"/>
      <c r="E42" s="89"/>
      <c r="F42" s="90"/>
      <c r="G42" s="89"/>
      <c r="H42" s="90"/>
      <c r="I42" s="89"/>
      <c r="J42" s="90"/>
      <c r="K42" s="50"/>
      <c r="L42" s="90"/>
      <c r="M42" s="89"/>
      <c r="N42" s="90"/>
      <c r="Q42" s="181" t="s">
        <v>121</v>
      </c>
      <c r="R42" s="181">
        <f t="shared" si="0"/>
        <v>0.9840000000000001</v>
      </c>
      <c r="S42" s="181">
        <v>98.4</v>
      </c>
      <c r="T42" s="1">
        <v>2001</v>
      </c>
      <c r="U42" s="295"/>
      <c r="V42" s="295"/>
    </row>
    <row r="43" spans="2:22" s="33" customFormat="1" ht="18" customHeight="1">
      <c r="B43" s="107"/>
      <c r="C43" s="108" t="s">
        <v>95</v>
      </c>
      <c r="D43" s="108"/>
      <c r="E43" s="91">
        <v>853</v>
      </c>
      <c r="F43" s="92">
        <f>ROUND(E43/$R$32,0)</f>
        <v>905</v>
      </c>
      <c r="G43" s="91">
        <v>865</v>
      </c>
      <c r="H43" s="92">
        <f>ROUND(G43/$R$35,0)</f>
        <v>885</v>
      </c>
      <c r="I43" s="91">
        <v>803</v>
      </c>
      <c r="J43" s="92">
        <f>ROUND(I43/$R$38,0)</f>
        <v>807</v>
      </c>
      <c r="K43" s="109">
        <v>728</v>
      </c>
      <c r="L43" s="92">
        <f>ROUND(K43/$R$40,0)</f>
        <v>729</v>
      </c>
      <c r="M43" s="177">
        <f>79862/100</f>
        <v>798.62</v>
      </c>
      <c r="N43" s="92">
        <f>ROUND(M43/$R$43,0)</f>
        <v>819</v>
      </c>
      <c r="Q43" s="181" t="s">
        <v>116</v>
      </c>
      <c r="R43" s="181">
        <f t="shared" si="0"/>
        <v>0.97499999999999998</v>
      </c>
      <c r="S43" s="181">
        <v>97.5</v>
      </c>
      <c r="T43" s="1">
        <v>2002</v>
      </c>
      <c r="U43" s="295"/>
      <c r="V43" s="295"/>
    </row>
    <row r="44" spans="2:22" ht="18" customHeight="1">
      <c r="B44" s="102" t="s">
        <v>96</v>
      </c>
      <c r="C44" s="103" t="s">
        <v>97</v>
      </c>
      <c r="D44" s="103"/>
      <c r="E44" s="81">
        <v>3297</v>
      </c>
      <c r="F44" s="82">
        <f>ROUND(E44/$R$32,0)</f>
        <v>3496</v>
      </c>
      <c r="G44" s="81">
        <v>3252</v>
      </c>
      <c r="H44" s="82">
        <f>ROUND(G44/$R$35,0)</f>
        <v>3329</v>
      </c>
      <c r="I44" s="81">
        <v>4477</v>
      </c>
      <c r="J44" s="82">
        <f>ROUND(I44/$R$38,0)</f>
        <v>4499</v>
      </c>
      <c r="K44" s="40">
        <v>4480</v>
      </c>
      <c r="L44" s="82">
        <f>ROUND(K44/$R$40,0)</f>
        <v>4489</v>
      </c>
      <c r="M44" s="159">
        <f>341754/100</f>
        <v>3417.54</v>
      </c>
      <c r="N44" s="82">
        <f>ROUND(M44/$R$43,0)</f>
        <v>3505</v>
      </c>
      <c r="Q44" s="181" t="s">
        <v>117</v>
      </c>
      <c r="R44" s="181">
        <f t="shared" si="0"/>
        <v>0.97199999999999998</v>
      </c>
      <c r="S44" s="181">
        <v>97.2</v>
      </c>
      <c r="T44" s="1">
        <v>2003</v>
      </c>
      <c r="U44" s="295"/>
      <c r="V44" s="295"/>
    </row>
    <row r="45" spans="2:22" ht="18" customHeight="1">
      <c r="B45" s="102" t="s">
        <v>98</v>
      </c>
      <c r="C45" s="103" t="s">
        <v>99</v>
      </c>
      <c r="D45" s="103"/>
      <c r="E45" s="159" t="s">
        <v>125</v>
      </c>
      <c r="F45" s="172" t="s">
        <v>125</v>
      </c>
      <c r="G45" s="159" t="s">
        <v>133</v>
      </c>
      <c r="H45" s="172" t="s">
        <v>159</v>
      </c>
      <c r="I45" s="159" t="s">
        <v>133</v>
      </c>
      <c r="J45" s="172" t="s">
        <v>158</v>
      </c>
      <c r="K45" s="119" t="s">
        <v>133</v>
      </c>
      <c r="L45" s="172" t="s">
        <v>125</v>
      </c>
      <c r="M45" s="159" t="s">
        <v>162</v>
      </c>
      <c r="N45" s="172" t="s">
        <v>133</v>
      </c>
      <c r="Q45" s="181" t="s">
        <v>118</v>
      </c>
      <c r="R45" s="181">
        <f t="shared" si="0"/>
        <v>0.97199999999999998</v>
      </c>
      <c r="S45" s="181">
        <v>97.2</v>
      </c>
      <c r="T45" s="1">
        <v>2004</v>
      </c>
      <c r="U45" s="295"/>
      <c r="V45" s="295"/>
    </row>
    <row r="46" spans="2:22" ht="18" customHeight="1">
      <c r="B46" s="102" t="s">
        <v>101</v>
      </c>
      <c r="C46" s="103" t="s">
        <v>429</v>
      </c>
      <c r="D46" s="103"/>
      <c r="E46" s="159">
        <v>1191</v>
      </c>
      <c r="F46" s="82">
        <f>ROUND(E46/$R$32,0)</f>
        <v>1263</v>
      </c>
      <c r="G46" s="81">
        <v>1434</v>
      </c>
      <c r="H46" s="82">
        <f>ROUND(G46/$R$35,0)</f>
        <v>1468</v>
      </c>
      <c r="I46" s="81">
        <v>2397</v>
      </c>
      <c r="J46" s="82">
        <f>ROUND(I46/$R$38,0)</f>
        <v>2409</v>
      </c>
      <c r="K46" s="176">
        <v>2715</v>
      </c>
      <c r="L46" s="148">
        <f>ROUND(K46/$R$40,0)</f>
        <v>2720</v>
      </c>
      <c r="M46" s="159">
        <f>177229/100</f>
        <v>1772.29</v>
      </c>
      <c r="N46" s="82">
        <f>ROUND(M46/$R$43,0)</f>
        <v>1818</v>
      </c>
      <c r="Q46" s="181" t="s">
        <v>119</v>
      </c>
      <c r="R46" s="181">
        <f t="shared" si="0"/>
        <v>0.96900000000000008</v>
      </c>
      <c r="S46" s="181">
        <v>96.9</v>
      </c>
      <c r="T46" s="1">
        <v>2005</v>
      </c>
      <c r="U46" s="295"/>
      <c r="V46" s="295"/>
    </row>
    <row r="47" spans="2:22" ht="18" customHeight="1">
      <c r="B47" s="105" t="s">
        <v>103</v>
      </c>
      <c r="C47" s="106" t="s">
        <v>104</v>
      </c>
      <c r="D47" s="106"/>
      <c r="E47" s="89"/>
      <c r="F47" s="90"/>
      <c r="G47" s="89"/>
      <c r="H47" s="90"/>
      <c r="I47" s="89"/>
      <c r="J47" s="90"/>
      <c r="K47" s="89"/>
      <c r="L47" s="90"/>
      <c r="M47" s="118"/>
      <c r="N47" s="90"/>
      <c r="Q47" s="181" t="s">
        <v>120</v>
      </c>
      <c r="R47" s="181">
        <f t="shared" si="0"/>
        <v>0.97199999999999998</v>
      </c>
      <c r="S47" s="181">
        <v>97.2</v>
      </c>
      <c r="T47" s="1">
        <v>2006</v>
      </c>
      <c r="U47" s="295"/>
      <c r="V47" s="295"/>
    </row>
    <row r="48" spans="2:22" s="33" customFormat="1" ht="18" customHeight="1">
      <c r="B48" s="107"/>
      <c r="C48" s="108" t="s">
        <v>95</v>
      </c>
      <c r="D48" s="108"/>
      <c r="E48" s="91">
        <v>1126</v>
      </c>
      <c r="F48" s="92">
        <f>ROUND(E48/$R$32,0)</f>
        <v>1194</v>
      </c>
      <c r="G48" s="177" t="s">
        <v>133</v>
      </c>
      <c r="H48" s="178" t="s">
        <v>159</v>
      </c>
      <c r="I48" s="91">
        <v>588</v>
      </c>
      <c r="J48" s="92">
        <f>ROUND(I48/$R$38,0)</f>
        <v>591</v>
      </c>
      <c r="K48" s="443" t="s">
        <v>125</v>
      </c>
      <c r="L48" s="178" t="s">
        <v>125</v>
      </c>
      <c r="M48" s="177" t="s">
        <v>160</v>
      </c>
      <c r="N48" s="178" t="s">
        <v>160</v>
      </c>
      <c r="Q48" s="181" t="s">
        <v>122</v>
      </c>
      <c r="R48" s="181">
        <f t="shared" si="0"/>
        <v>0.97199999999999998</v>
      </c>
      <c r="S48" s="181">
        <v>97.2</v>
      </c>
      <c r="T48" s="1">
        <v>2007</v>
      </c>
      <c r="U48" s="295"/>
      <c r="V48" s="295"/>
    </row>
    <row r="49" spans="2:22" ht="18" customHeight="1">
      <c r="B49" s="110" t="s">
        <v>106</v>
      </c>
      <c r="C49" s="111" t="s">
        <v>107</v>
      </c>
      <c r="D49" s="111"/>
      <c r="E49" s="174">
        <v>2969</v>
      </c>
      <c r="F49" s="175">
        <f>ROUND(E49/$R$32,0)</f>
        <v>3148</v>
      </c>
      <c r="G49" s="83">
        <v>3477</v>
      </c>
      <c r="H49" s="84">
        <f>ROUND(G49/$R$35,0)</f>
        <v>3559</v>
      </c>
      <c r="I49" s="83">
        <v>3087</v>
      </c>
      <c r="J49" s="84">
        <f>ROUND(I49/$R$38,0)</f>
        <v>3103</v>
      </c>
      <c r="K49" s="174" t="s">
        <v>125</v>
      </c>
      <c r="L49" s="175" t="s">
        <v>125</v>
      </c>
      <c r="M49" s="174">
        <f>400903/100</f>
        <v>4009.03</v>
      </c>
      <c r="N49" s="175">
        <f>ROUND(M49/$R$43,0)</f>
        <v>4112</v>
      </c>
      <c r="Q49" s="181" t="s">
        <v>123</v>
      </c>
      <c r="R49" s="181">
        <f t="shared" si="0"/>
        <v>0.98599999999999999</v>
      </c>
      <c r="S49" s="181">
        <v>98.6</v>
      </c>
      <c r="T49" s="1">
        <v>2008</v>
      </c>
      <c r="U49" s="295"/>
      <c r="V49" s="295"/>
    </row>
    <row r="50" spans="2:22" ht="15" customHeight="1">
      <c r="B50" s="1"/>
      <c r="C50" s="113"/>
      <c r="D50" s="113"/>
      <c r="E50" s="30"/>
      <c r="F50" s="30"/>
      <c r="G50" s="30"/>
      <c r="H50" s="30"/>
      <c r="I50" s="30"/>
      <c r="K50" s="30"/>
      <c r="M50" s="95"/>
      <c r="N50" s="95" t="s">
        <v>167</v>
      </c>
      <c r="Q50" s="181" t="s">
        <v>333</v>
      </c>
      <c r="R50" s="181">
        <f t="shared" si="0"/>
        <v>0.97199999999999998</v>
      </c>
      <c r="S50" s="181">
        <v>97.2</v>
      </c>
      <c r="T50" s="1">
        <v>2009</v>
      </c>
      <c r="U50" s="295"/>
      <c r="V50" s="295"/>
    </row>
    <row r="51" spans="2:22" ht="15" customHeight="1">
      <c r="B51" s="94" t="s">
        <v>529</v>
      </c>
      <c r="C51" s="113"/>
      <c r="D51" s="113"/>
      <c r="E51" s="30"/>
      <c r="F51" s="30"/>
      <c r="G51" s="30"/>
      <c r="H51" s="30"/>
      <c r="I51" s="30"/>
      <c r="J51" s="30"/>
      <c r="K51" s="30"/>
      <c r="L51" s="30"/>
      <c r="M51" s="30"/>
      <c r="N51" s="30"/>
      <c r="Q51" s="181" t="s">
        <v>334</v>
      </c>
      <c r="R51" s="181">
        <f t="shared" si="0"/>
        <v>0.96499999999999997</v>
      </c>
      <c r="S51" s="181">
        <v>96.5</v>
      </c>
      <c r="T51" s="1">
        <v>2010</v>
      </c>
      <c r="U51" s="295"/>
      <c r="V51" s="295"/>
    </row>
    <row r="52" spans="2:22" ht="15" customHeight="1">
      <c r="B52" s="1" t="s">
        <v>430</v>
      </c>
      <c r="C52" s="113"/>
      <c r="D52" s="113"/>
      <c r="E52" s="30"/>
      <c r="F52" s="30"/>
      <c r="G52" s="30"/>
      <c r="H52" s="30"/>
      <c r="I52" s="30"/>
      <c r="J52" s="30"/>
      <c r="K52" s="30"/>
      <c r="L52" s="30"/>
      <c r="M52" s="30"/>
      <c r="N52" s="30"/>
      <c r="Q52" s="181" t="s">
        <v>335</v>
      </c>
      <c r="R52" s="181">
        <f t="shared" si="0"/>
        <v>0.96299999999999997</v>
      </c>
      <c r="S52" s="181">
        <v>96.3</v>
      </c>
      <c r="T52" s="1">
        <v>2011</v>
      </c>
      <c r="U52" s="295"/>
      <c r="V52" s="295"/>
    </row>
    <row r="53" spans="2:22" ht="15" customHeight="1">
      <c r="B53" s="1"/>
      <c r="C53" s="113"/>
      <c r="D53" s="113"/>
      <c r="E53" s="30"/>
      <c r="F53" s="30"/>
      <c r="G53" s="30"/>
      <c r="H53" s="30"/>
      <c r="I53" s="30"/>
      <c r="J53" s="30"/>
      <c r="K53" s="30"/>
      <c r="L53" s="30"/>
      <c r="M53" s="30"/>
      <c r="N53" s="30"/>
      <c r="Q53" s="181" t="s">
        <v>336</v>
      </c>
      <c r="R53" s="181">
        <f t="shared" si="0"/>
        <v>0.96200000000000008</v>
      </c>
      <c r="S53" s="181">
        <v>96.2</v>
      </c>
      <c r="T53" s="1">
        <v>2012</v>
      </c>
    </row>
    <row r="54" spans="2:22" ht="15" customHeight="1">
      <c r="B54" s="1"/>
      <c r="C54" s="113"/>
      <c r="D54" s="113"/>
      <c r="E54" s="30"/>
      <c r="F54" s="30"/>
      <c r="G54" s="30"/>
      <c r="H54" s="30"/>
      <c r="I54" s="30"/>
      <c r="J54" s="30"/>
      <c r="K54" s="30"/>
      <c r="L54" s="30"/>
      <c r="M54" s="30"/>
      <c r="N54" s="30"/>
      <c r="Q54" s="181" t="s">
        <v>495</v>
      </c>
      <c r="R54" s="181">
        <f t="shared" si="0"/>
        <v>0.96599999999999997</v>
      </c>
      <c r="S54" s="181">
        <v>96.6</v>
      </c>
      <c r="T54" s="1">
        <v>2013</v>
      </c>
    </row>
    <row r="55" spans="2:22" ht="15" customHeight="1">
      <c r="Q55" s="181" t="s">
        <v>496</v>
      </c>
      <c r="R55" s="181">
        <f t="shared" si="0"/>
        <v>0.99199999999999999</v>
      </c>
      <c r="S55" s="181">
        <v>99.2</v>
      </c>
      <c r="T55" s="1">
        <v>2014</v>
      </c>
      <c r="U55" s="33"/>
      <c r="V55" s="33"/>
    </row>
    <row r="56" spans="2:22" ht="15" customHeight="1">
      <c r="Q56" s="181" t="s">
        <v>497</v>
      </c>
      <c r="R56" s="181">
        <f t="shared" si="0"/>
        <v>1</v>
      </c>
      <c r="S56" s="181">
        <v>100</v>
      </c>
      <c r="T56" s="1">
        <v>2015</v>
      </c>
      <c r="U56" s="33"/>
      <c r="V56" s="33"/>
    </row>
    <row r="57" spans="2:22" ht="15" customHeight="1">
      <c r="H57" s="95" t="s">
        <v>46</v>
      </c>
      <c r="M57" s="95"/>
      <c r="N57" s="95"/>
      <c r="Q57" s="181" t="s">
        <v>498</v>
      </c>
      <c r="R57" s="181">
        <f t="shared" si="0"/>
        <v>0.99900000000000011</v>
      </c>
      <c r="S57" s="181">
        <v>99.9</v>
      </c>
      <c r="T57" s="1">
        <v>2016</v>
      </c>
      <c r="U57" s="33"/>
      <c r="V57" s="33"/>
    </row>
    <row r="58" spans="2:22" ht="15" customHeight="1">
      <c r="B58" s="652" t="s">
        <v>45</v>
      </c>
      <c r="C58" s="707"/>
      <c r="D58" s="721"/>
      <c r="E58" s="6" t="s">
        <v>124</v>
      </c>
      <c r="F58" s="5"/>
      <c r="G58" s="6" t="s">
        <v>161</v>
      </c>
      <c r="H58" s="88"/>
      <c r="I58" s="684"/>
      <c r="J58" s="705"/>
      <c r="K58" s="705"/>
      <c r="L58" s="705"/>
      <c r="Q58" s="181" t="s">
        <v>499</v>
      </c>
      <c r="R58" s="181">
        <f t="shared" si="0"/>
        <v>1.004</v>
      </c>
      <c r="S58" s="181">
        <v>100.4</v>
      </c>
      <c r="T58" s="1">
        <v>2017</v>
      </c>
      <c r="U58" s="33"/>
    </row>
    <row r="59" spans="2:22" ht="15" customHeight="1">
      <c r="B59" s="684"/>
      <c r="C59" s="722"/>
      <c r="D59" s="723"/>
      <c r="E59" s="724" t="s">
        <v>166</v>
      </c>
      <c r="F59" s="372" t="s">
        <v>358</v>
      </c>
      <c r="G59" s="724" t="s">
        <v>166</v>
      </c>
      <c r="H59" s="372" t="s">
        <v>358</v>
      </c>
      <c r="I59" s="684"/>
      <c r="J59" s="705"/>
      <c r="K59" s="705"/>
      <c r="L59" s="705"/>
      <c r="R59" s="33"/>
      <c r="S59" s="33"/>
      <c r="T59" s="33"/>
    </row>
    <row r="60" spans="2:22" ht="15" customHeight="1">
      <c r="B60" s="708"/>
      <c r="C60" s="709"/>
      <c r="D60" s="718"/>
      <c r="E60" s="725"/>
      <c r="F60" s="373" t="s">
        <v>365</v>
      </c>
      <c r="G60" s="725"/>
      <c r="H60" s="373" t="s">
        <v>365</v>
      </c>
      <c r="I60" s="684"/>
      <c r="J60" s="705"/>
      <c r="K60" s="705"/>
      <c r="L60" s="705"/>
    </row>
    <row r="61" spans="2:22" ht="12.75" customHeight="1">
      <c r="B61" s="96"/>
      <c r="C61" s="97"/>
      <c r="D61" s="97"/>
      <c r="E61" s="98"/>
      <c r="F61" s="117"/>
      <c r="G61" s="98"/>
      <c r="H61" s="117"/>
      <c r="I61" s="96"/>
      <c r="J61" s="481"/>
      <c r="K61" s="481"/>
      <c r="L61" s="33"/>
    </row>
    <row r="62" spans="2:22" ht="18" customHeight="1">
      <c r="B62" s="100" t="s">
        <v>82</v>
      </c>
      <c r="C62" s="59"/>
      <c r="D62" s="59"/>
      <c r="E62" s="79">
        <f>2625714/100</f>
        <v>26257.14</v>
      </c>
      <c r="F62" s="80">
        <f>SUM(F65:F72)</f>
        <v>27013</v>
      </c>
      <c r="G62" s="79">
        <f>2882281/100</f>
        <v>28822.81</v>
      </c>
      <c r="H62" s="80">
        <f>SUM(H65:H72)</f>
        <v>29653</v>
      </c>
      <c r="I62" s="100"/>
      <c r="J62" s="59"/>
      <c r="K62" s="59"/>
      <c r="L62" s="59"/>
    </row>
    <row r="63" spans="2:22" ht="12.75" customHeight="1">
      <c r="B63" s="100"/>
      <c r="C63" s="59"/>
      <c r="D63" s="59"/>
      <c r="E63" s="79"/>
      <c r="F63" s="92"/>
      <c r="G63" s="79"/>
      <c r="H63" s="92"/>
      <c r="I63" s="24"/>
      <c r="J63" s="33"/>
      <c r="K63" s="33"/>
      <c r="L63" s="33"/>
      <c r="R63" s="33"/>
      <c r="S63" s="33"/>
      <c r="T63" s="33"/>
    </row>
    <row r="64" spans="2:22" ht="16.5" customHeight="1">
      <c r="B64" s="101"/>
      <c r="C64" s="67"/>
      <c r="D64" s="67"/>
      <c r="E64" s="81"/>
      <c r="F64" s="82"/>
      <c r="G64" s="81"/>
      <c r="H64" s="82"/>
      <c r="I64" s="483"/>
      <c r="J64" s="59"/>
      <c r="K64" s="59"/>
      <c r="L64" s="59"/>
      <c r="R64" s="33"/>
      <c r="S64" s="33"/>
      <c r="T64" s="33"/>
    </row>
    <row r="65" spans="2:20" ht="16.5" customHeight="1">
      <c r="B65" s="102" t="s">
        <v>87</v>
      </c>
      <c r="C65" s="103" t="s">
        <v>88</v>
      </c>
      <c r="D65" s="103"/>
      <c r="E65" s="81">
        <f>1147468/100</f>
        <v>11474.68</v>
      </c>
      <c r="F65" s="82">
        <f>ROUND(E65/$R$45,0)</f>
        <v>11805</v>
      </c>
      <c r="G65" s="81">
        <f>1581738/100</f>
        <v>15817.38</v>
      </c>
      <c r="H65" s="82">
        <f>ROUND(G65/$R$48,0)</f>
        <v>16273</v>
      </c>
      <c r="I65" s="483"/>
      <c r="J65" s="59"/>
      <c r="K65" s="59"/>
      <c r="L65" s="59"/>
      <c r="R65" s="33"/>
      <c r="S65" s="33"/>
      <c r="T65" s="33"/>
    </row>
    <row r="66" spans="2:20" ht="16.5" customHeight="1">
      <c r="B66" s="102" t="s">
        <v>89</v>
      </c>
      <c r="C66" s="103" t="s">
        <v>90</v>
      </c>
      <c r="D66" s="103"/>
      <c r="E66" s="159" t="s">
        <v>133</v>
      </c>
      <c r="F66" s="172" t="s">
        <v>133</v>
      </c>
      <c r="G66" s="159" t="s">
        <v>133</v>
      </c>
      <c r="H66" s="172" t="s">
        <v>133</v>
      </c>
      <c r="I66" s="186"/>
      <c r="J66" s="33"/>
      <c r="K66" s="33"/>
      <c r="L66" s="33"/>
      <c r="R66" s="33"/>
      <c r="S66" s="33"/>
      <c r="T66" s="33"/>
    </row>
    <row r="67" spans="2:20" ht="16.5" customHeight="1">
      <c r="B67" s="102"/>
      <c r="C67" s="103"/>
      <c r="D67" s="103"/>
      <c r="E67" s="159"/>
      <c r="F67" s="172"/>
      <c r="G67" s="81"/>
      <c r="H67" s="82"/>
      <c r="I67" s="186"/>
      <c r="J67" s="33"/>
      <c r="K67" s="33"/>
      <c r="L67" s="33"/>
      <c r="R67" s="33"/>
      <c r="S67" s="33"/>
      <c r="T67" s="33"/>
    </row>
    <row r="68" spans="2:20" ht="16.5" customHeight="1">
      <c r="B68" s="102"/>
      <c r="C68" s="103"/>
      <c r="D68" s="103"/>
      <c r="E68" s="159"/>
      <c r="F68" s="172"/>
      <c r="G68" s="81"/>
      <c r="H68" s="82"/>
      <c r="I68" s="186"/>
      <c r="J68" s="33"/>
      <c r="K68" s="33"/>
      <c r="L68" s="33"/>
      <c r="O68" s="33"/>
      <c r="P68" s="33"/>
      <c r="Q68" s="33"/>
      <c r="R68" s="33"/>
      <c r="S68" s="33"/>
      <c r="T68" s="33"/>
    </row>
    <row r="69" spans="2:20" ht="16.5" customHeight="1">
      <c r="B69" s="102"/>
      <c r="C69" s="103"/>
      <c r="D69" s="103"/>
      <c r="E69" s="159"/>
      <c r="F69" s="172"/>
      <c r="G69" s="81"/>
      <c r="H69" s="82"/>
      <c r="I69" s="186"/>
      <c r="J69" s="33"/>
      <c r="K69" s="33"/>
      <c r="L69" s="33"/>
      <c r="O69" s="33"/>
      <c r="P69" s="33"/>
      <c r="Q69" s="33"/>
      <c r="R69" s="33"/>
      <c r="S69" s="33"/>
      <c r="T69" s="33"/>
    </row>
    <row r="70" spans="2:20" ht="16.5" customHeight="1">
      <c r="B70" s="102"/>
      <c r="C70" s="103"/>
      <c r="D70" s="103"/>
      <c r="E70" s="159"/>
      <c r="F70" s="172"/>
      <c r="G70" s="81"/>
      <c r="H70" s="82"/>
      <c r="I70" s="186"/>
      <c r="J70" s="33"/>
      <c r="K70" s="33"/>
      <c r="L70" s="33"/>
      <c r="O70" s="33"/>
      <c r="P70" s="33"/>
      <c r="Q70" s="33"/>
      <c r="R70" s="33"/>
      <c r="S70" s="33"/>
      <c r="T70" s="33"/>
    </row>
    <row r="71" spans="2:20" ht="16.5" customHeight="1">
      <c r="B71" s="102"/>
      <c r="C71" s="103"/>
      <c r="D71" s="103"/>
      <c r="E71" s="159"/>
      <c r="F71" s="172"/>
      <c r="G71" s="81"/>
      <c r="H71" s="82"/>
      <c r="I71" s="24"/>
      <c r="J71" s="33"/>
      <c r="K71" s="33"/>
      <c r="L71" s="33"/>
      <c r="O71" s="33"/>
      <c r="P71" s="33"/>
      <c r="Q71" s="33"/>
    </row>
    <row r="72" spans="2:20" ht="16.5" customHeight="1">
      <c r="B72" s="104" t="s">
        <v>83</v>
      </c>
      <c r="C72" s="62"/>
      <c r="D72" s="62"/>
      <c r="E72" s="159">
        <f>1478246/100</f>
        <v>14782.46</v>
      </c>
      <c r="F72" s="172">
        <f>ROUND(E72/$R$45,0)</f>
        <v>15208</v>
      </c>
      <c r="G72" s="81">
        <f>1300543/100</f>
        <v>13005.43</v>
      </c>
      <c r="H72" s="82">
        <f>ROUND(G72/$R$48,0)</f>
        <v>13380</v>
      </c>
      <c r="I72" s="483"/>
      <c r="J72" s="59"/>
      <c r="K72" s="59"/>
      <c r="L72" s="59"/>
      <c r="O72" s="33"/>
      <c r="P72" s="33"/>
      <c r="Q72" s="33"/>
    </row>
    <row r="73" spans="2:20" s="33" customFormat="1" ht="16.5" customHeight="1">
      <c r="B73" s="104"/>
      <c r="C73" s="62"/>
      <c r="D73" s="62"/>
      <c r="E73" s="86"/>
      <c r="F73" s="120"/>
      <c r="G73" s="81"/>
      <c r="H73" s="82"/>
      <c r="I73" s="24"/>
    </row>
    <row r="74" spans="2:20" ht="16.5" customHeight="1">
      <c r="B74" s="102" t="s">
        <v>91</v>
      </c>
      <c r="C74" s="103" t="s">
        <v>92</v>
      </c>
      <c r="D74" s="103"/>
      <c r="E74" s="159" t="s">
        <v>133</v>
      </c>
      <c r="F74" s="172" t="s">
        <v>159</v>
      </c>
      <c r="G74" s="173" t="s">
        <v>133</v>
      </c>
      <c r="H74" s="172" t="s">
        <v>159</v>
      </c>
      <c r="I74" s="186"/>
      <c r="J74" s="33"/>
      <c r="K74" s="33"/>
      <c r="L74" s="33"/>
      <c r="O74" s="33"/>
      <c r="P74" s="33"/>
      <c r="Q74" s="33"/>
    </row>
    <row r="75" spans="2:20" ht="16.5" customHeight="1">
      <c r="B75" s="105" t="s">
        <v>93</v>
      </c>
      <c r="C75" s="106" t="s">
        <v>428</v>
      </c>
      <c r="D75" s="106"/>
      <c r="E75" s="89"/>
      <c r="F75" s="90"/>
      <c r="G75" s="89"/>
      <c r="H75" s="90"/>
      <c r="I75" s="186"/>
      <c r="J75" s="33"/>
      <c r="K75" s="33"/>
      <c r="L75" s="33"/>
    </row>
    <row r="76" spans="2:20" ht="16.5" customHeight="1">
      <c r="B76" s="107"/>
      <c r="C76" s="108" t="s">
        <v>95</v>
      </c>
      <c r="D76" s="108"/>
      <c r="E76" s="91">
        <f>81841/100</f>
        <v>818.41</v>
      </c>
      <c r="F76" s="92">
        <f>ROUND(E76/$R$45,0)</f>
        <v>842</v>
      </c>
      <c r="G76" s="177">
        <f>74853/100</f>
        <v>748.53</v>
      </c>
      <c r="H76" s="92">
        <f>ROUND(G76/$R$48,0)</f>
        <v>770</v>
      </c>
      <c r="I76" s="186"/>
      <c r="J76" s="33"/>
      <c r="K76" s="33"/>
      <c r="L76" s="33"/>
    </row>
    <row r="77" spans="2:20" ht="16.5" customHeight="1">
      <c r="B77" s="102" t="s">
        <v>96</v>
      </c>
      <c r="C77" s="103" t="s">
        <v>97</v>
      </c>
      <c r="D77" s="103"/>
      <c r="E77" s="81">
        <f>358287/100</f>
        <v>3582.87</v>
      </c>
      <c r="F77" s="82">
        <f>ROUND(E77/$R$45,0)</f>
        <v>3686</v>
      </c>
      <c r="G77" s="81">
        <f>338377/100</f>
        <v>3383.77</v>
      </c>
      <c r="H77" s="82">
        <f>ROUND(G77/$R$48,0)</f>
        <v>3481</v>
      </c>
      <c r="I77" s="186"/>
      <c r="J77" s="33"/>
      <c r="K77" s="33"/>
      <c r="L77" s="33"/>
    </row>
    <row r="78" spans="2:20" s="33" customFormat="1" ht="16.5" customHeight="1">
      <c r="B78" s="102" t="s">
        <v>98</v>
      </c>
      <c r="C78" s="103" t="s">
        <v>99</v>
      </c>
      <c r="D78" s="103"/>
      <c r="E78" s="159" t="s">
        <v>133</v>
      </c>
      <c r="F78" s="172" t="s">
        <v>133</v>
      </c>
      <c r="G78" s="159" t="s">
        <v>133</v>
      </c>
      <c r="H78" s="172" t="s">
        <v>133</v>
      </c>
      <c r="I78" s="186"/>
      <c r="Q78" s="1"/>
      <c r="R78" s="1"/>
      <c r="S78" s="1"/>
    </row>
    <row r="79" spans="2:20" ht="16.5" customHeight="1">
      <c r="B79" s="102" t="s">
        <v>101</v>
      </c>
      <c r="C79" s="103" t="s">
        <v>429</v>
      </c>
      <c r="D79" s="103"/>
      <c r="E79" s="81">
        <f>216184/100</f>
        <v>2161.84</v>
      </c>
      <c r="F79" s="82">
        <f>ROUND(E79/$R$45,0)</f>
        <v>2224</v>
      </c>
      <c r="G79" s="81">
        <f>130045/100</f>
        <v>1300.45</v>
      </c>
      <c r="H79" s="82">
        <f>ROUND(G79/$R$48,0)</f>
        <v>1338</v>
      </c>
      <c r="I79" s="186"/>
      <c r="J79" s="33"/>
      <c r="K79" s="33"/>
      <c r="L79" s="33"/>
      <c r="Q79" s="33"/>
      <c r="R79" s="33"/>
      <c r="S79" s="33"/>
    </row>
    <row r="80" spans="2:20" ht="16.5" customHeight="1">
      <c r="B80" s="105" t="s">
        <v>103</v>
      </c>
      <c r="C80" s="106" t="s">
        <v>104</v>
      </c>
      <c r="D80" s="106"/>
      <c r="E80" s="89"/>
      <c r="F80" s="90"/>
      <c r="G80" s="89"/>
      <c r="H80" s="90"/>
      <c r="I80" s="24"/>
      <c r="J80" s="33"/>
      <c r="K80" s="33"/>
      <c r="L80" s="33"/>
    </row>
    <row r="81" spans="2:13" ht="16.5" customHeight="1">
      <c r="B81" s="107"/>
      <c r="C81" s="108" t="s">
        <v>95</v>
      </c>
      <c r="D81" s="108"/>
      <c r="E81" s="177" t="s">
        <v>160</v>
      </c>
      <c r="F81" s="178" t="s">
        <v>160</v>
      </c>
      <c r="G81" s="91">
        <f>7861/100</f>
        <v>78.61</v>
      </c>
      <c r="H81" s="92">
        <f>ROUND(G81/$R$48,0)</f>
        <v>81</v>
      </c>
      <c r="I81" s="24"/>
      <c r="J81" s="33"/>
      <c r="K81" s="33"/>
      <c r="L81" s="33"/>
    </row>
    <row r="82" spans="2:13" ht="16.5" customHeight="1">
      <c r="B82" s="110" t="s">
        <v>106</v>
      </c>
      <c r="C82" s="111" t="s">
        <v>107</v>
      </c>
      <c r="D82" s="111"/>
      <c r="E82" s="83">
        <f>506835/100</f>
        <v>5068.3500000000004</v>
      </c>
      <c r="F82" s="84">
        <f>ROUND(E82/$R$45,0)</f>
        <v>5214</v>
      </c>
      <c r="G82" s="160" t="s">
        <v>160</v>
      </c>
      <c r="H82" s="175" t="s">
        <v>160</v>
      </c>
      <c r="I82" s="24"/>
      <c r="J82" s="33"/>
      <c r="K82" s="33"/>
      <c r="L82" s="33"/>
    </row>
    <row r="83" spans="2:13" ht="16.5" customHeight="1">
      <c r="B83" s="1"/>
      <c r="C83" s="113"/>
      <c r="D83" s="113"/>
      <c r="E83" s="30"/>
      <c r="F83" s="30"/>
      <c r="G83" s="30"/>
      <c r="H83" s="95" t="s">
        <v>167</v>
      </c>
    </row>
    <row r="84" spans="2:13" ht="16.5" customHeight="1">
      <c r="B84" s="94" t="s">
        <v>529</v>
      </c>
      <c r="C84" s="113"/>
      <c r="D84" s="113"/>
      <c r="E84" s="30"/>
      <c r="F84" s="30"/>
      <c r="G84" s="30"/>
      <c r="H84" s="30"/>
    </row>
    <row r="85" spans="2:13" ht="16.5" customHeight="1">
      <c r="B85" s="1" t="s">
        <v>430</v>
      </c>
    </row>
    <row r="86" spans="2:13" ht="16.5" customHeight="1"/>
    <row r="87" spans="2:13" ht="16.5" customHeight="1">
      <c r="K87" s="95"/>
      <c r="M87" s="95" t="s">
        <v>46</v>
      </c>
    </row>
    <row r="88" spans="2:13" ht="16.5" customHeight="1">
      <c r="B88" s="652" t="s">
        <v>45</v>
      </c>
      <c r="C88" s="685"/>
      <c r="D88" s="685"/>
      <c r="E88" s="686"/>
      <c r="F88" s="6" t="s">
        <v>431</v>
      </c>
      <c r="G88" s="88"/>
      <c r="H88" s="6" t="s">
        <v>530</v>
      </c>
      <c r="I88" s="88"/>
      <c r="J88" s="6" t="s">
        <v>532</v>
      </c>
      <c r="K88" s="88"/>
      <c r="L88" s="6" t="s">
        <v>533</v>
      </c>
      <c r="M88" s="88"/>
    </row>
    <row r="89" spans="2:13" ht="16.5" customHeight="1">
      <c r="B89" s="684"/>
      <c r="C89" s="705"/>
      <c r="D89" s="705"/>
      <c r="E89" s="726"/>
      <c r="F89" s="724" t="s">
        <v>166</v>
      </c>
      <c r="G89" s="372" t="s">
        <v>358</v>
      </c>
      <c r="H89" s="724" t="s">
        <v>166</v>
      </c>
      <c r="I89" s="372" t="s">
        <v>358</v>
      </c>
      <c r="J89" s="724" t="s">
        <v>166</v>
      </c>
      <c r="K89" s="372" t="s">
        <v>358</v>
      </c>
      <c r="L89" s="724" t="s">
        <v>166</v>
      </c>
      <c r="M89" s="372" t="s">
        <v>358</v>
      </c>
    </row>
    <row r="90" spans="2:13" ht="16.5" customHeight="1">
      <c r="B90" s="712"/>
      <c r="C90" s="720"/>
      <c r="D90" s="720"/>
      <c r="E90" s="713"/>
      <c r="F90" s="725"/>
      <c r="G90" s="373" t="s">
        <v>365</v>
      </c>
      <c r="H90" s="725"/>
      <c r="I90" s="373" t="s">
        <v>365</v>
      </c>
      <c r="J90" s="727"/>
      <c r="K90" s="373" t="s">
        <v>365</v>
      </c>
      <c r="L90" s="727"/>
      <c r="M90" s="373" t="s">
        <v>365</v>
      </c>
    </row>
    <row r="91" spans="2:13" ht="16.5" customHeight="1">
      <c r="B91" s="96"/>
      <c r="C91" s="481"/>
      <c r="D91" s="481"/>
      <c r="F91" s="379"/>
      <c r="G91" s="117"/>
      <c r="H91" s="379"/>
      <c r="I91" s="117"/>
      <c r="J91" s="379"/>
      <c r="K91" s="117"/>
      <c r="L91" s="379"/>
      <c r="M91" s="117"/>
    </row>
    <row r="92" spans="2:13" ht="16.5" customHeight="1">
      <c r="B92" s="100" t="s">
        <v>82</v>
      </c>
      <c r="C92" s="59"/>
      <c r="D92" s="355"/>
      <c r="E92" s="355"/>
      <c r="F92" s="162">
        <v>24322.99</v>
      </c>
      <c r="G92" s="80">
        <f>G95+G103</f>
        <v>25257</v>
      </c>
      <c r="H92" s="162">
        <v>25590</v>
      </c>
      <c r="I92" s="80">
        <f>I95+I103</f>
        <v>26491</v>
      </c>
      <c r="J92" s="162">
        <v>28780.93</v>
      </c>
      <c r="K92" s="80">
        <f>K95+K103</f>
        <v>28781</v>
      </c>
      <c r="L92" s="162"/>
      <c r="M92" s="80"/>
    </row>
    <row r="93" spans="2:13" ht="16.5" customHeight="1">
      <c r="B93" s="187"/>
      <c r="C93" s="374"/>
      <c r="D93" s="374"/>
      <c r="E93" s="374"/>
      <c r="F93" s="177"/>
      <c r="G93" s="92"/>
      <c r="H93" s="177"/>
      <c r="I93" s="92"/>
      <c r="J93" s="177"/>
      <c r="K93" s="92"/>
      <c r="L93" s="177"/>
      <c r="M93" s="92"/>
    </row>
    <row r="94" spans="2:13" ht="16.5" customHeight="1">
      <c r="B94" s="378"/>
      <c r="C94" s="62"/>
      <c r="D94" s="62"/>
      <c r="E94" s="380"/>
      <c r="F94" s="159"/>
      <c r="G94" s="82"/>
      <c r="H94" s="159"/>
      <c r="I94" s="82"/>
      <c r="J94" s="159"/>
      <c r="K94" s="82"/>
      <c r="L94" s="159"/>
      <c r="M94" s="82"/>
    </row>
    <row r="95" spans="2:13" ht="16.5" customHeight="1">
      <c r="B95" s="378" t="s">
        <v>363</v>
      </c>
      <c r="C95" s="62"/>
      <c r="D95" s="62"/>
      <c r="E95" s="380"/>
      <c r="F95" s="159">
        <v>11182.66</v>
      </c>
      <c r="G95" s="82">
        <f>ROUND(F95/$R$52,0)</f>
        <v>11612</v>
      </c>
      <c r="H95" s="159">
        <v>10799</v>
      </c>
      <c r="I95" s="82">
        <f>ROUND(H95/$R$54,0)</f>
        <v>11179</v>
      </c>
      <c r="J95" s="159">
        <v>14523.39</v>
      </c>
      <c r="K95" s="82">
        <f>ROUND(J95/$R$56,0)</f>
        <v>14523</v>
      </c>
      <c r="L95" s="159"/>
      <c r="M95" s="82"/>
    </row>
    <row r="96" spans="2:13" ht="16.5" customHeight="1">
      <c r="B96" s="66" t="s">
        <v>367</v>
      </c>
      <c r="C96" s="67"/>
      <c r="D96" s="67"/>
      <c r="E96" s="35"/>
      <c r="F96" s="159" t="s">
        <v>125</v>
      </c>
      <c r="G96" s="172" t="s">
        <v>125</v>
      </c>
      <c r="H96" s="159"/>
      <c r="I96" s="172"/>
      <c r="J96" s="159" t="s">
        <v>125</v>
      </c>
      <c r="K96" s="172" t="s">
        <v>125</v>
      </c>
      <c r="L96" s="159"/>
      <c r="M96" s="172"/>
    </row>
    <row r="97" spans="1:14" ht="16.5" customHeight="1">
      <c r="B97" s="66" t="s">
        <v>368</v>
      </c>
      <c r="C97" s="67"/>
      <c r="D97" s="67"/>
      <c r="E97" s="35"/>
      <c r="F97" s="159" t="s">
        <v>125</v>
      </c>
      <c r="G97" s="172" t="s">
        <v>125</v>
      </c>
      <c r="H97" s="159"/>
      <c r="I97" s="172"/>
      <c r="J97" s="159" t="s">
        <v>125</v>
      </c>
      <c r="K97" s="172" t="s">
        <v>125</v>
      </c>
      <c r="L97" s="159"/>
      <c r="M97" s="172"/>
    </row>
    <row r="98" spans="1:14" ht="16.5" customHeight="1">
      <c r="B98" s="66" t="s">
        <v>369</v>
      </c>
      <c r="C98" s="67"/>
      <c r="D98" s="67"/>
      <c r="E98" s="35"/>
      <c r="F98" s="159">
        <v>10526.21</v>
      </c>
      <c r="G98" s="82">
        <f>ROUND(F98/$R$52,0)</f>
        <v>10931</v>
      </c>
      <c r="H98" s="159"/>
      <c r="I98" s="82"/>
      <c r="J98" s="159">
        <v>13879.34</v>
      </c>
      <c r="K98" s="82">
        <f>ROUND(J98/$R$56,0)</f>
        <v>13879</v>
      </c>
      <c r="L98" s="159"/>
      <c r="M98" s="82"/>
    </row>
    <row r="99" spans="1:14" ht="16.5" customHeight="1">
      <c r="B99" s="66" t="s">
        <v>370</v>
      </c>
      <c r="C99" s="67"/>
      <c r="D99" s="67"/>
      <c r="E99" s="35"/>
      <c r="F99" s="159" t="s">
        <v>139</v>
      </c>
      <c r="G99" s="172" t="s">
        <v>139</v>
      </c>
      <c r="H99" s="159"/>
      <c r="I99" s="172"/>
      <c r="J99" s="159" t="s">
        <v>139</v>
      </c>
      <c r="K99" s="172" t="s">
        <v>139</v>
      </c>
      <c r="L99" s="159"/>
      <c r="M99" s="172"/>
    </row>
    <row r="100" spans="1:14" ht="16.5" customHeight="1">
      <c r="B100" s="66" t="s">
        <v>371</v>
      </c>
      <c r="C100" s="67"/>
      <c r="D100" s="67"/>
      <c r="E100" s="35"/>
      <c r="F100" s="159" t="s">
        <v>139</v>
      </c>
      <c r="G100" s="172" t="s">
        <v>139</v>
      </c>
      <c r="H100" s="159"/>
      <c r="I100" s="172"/>
      <c r="J100" s="159" t="s">
        <v>139</v>
      </c>
      <c r="K100" s="172" t="s">
        <v>139</v>
      </c>
      <c r="L100" s="159"/>
      <c r="M100" s="172"/>
    </row>
    <row r="101" spans="1:14" ht="16.5" customHeight="1">
      <c r="B101" s="66" t="s">
        <v>372</v>
      </c>
      <c r="C101" s="67"/>
      <c r="D101" s="67"/>
      <c r="E101" s="35"/>
      <c r="F101" s="159" t="s">
        <v>139</v>
      </c>
      <c r="G101" s="172" t="s">
        <v>139</v>
      </c>
      <c r="H101" s="159"/>
      <c r="I101" s="172"/>
      <c r="J101" s="159" t="s">
        <v>139</v>
      </c>
      <c r="K101" s="172" t="s">
        <v>139</v>
      </c>
      <c r="L101" s="159"/>
      <c r="M101" s="172"/>
    </row>
    <row r="102" spans="1:14" ht="16.5" customHeight="1">
      <c r="B102" s="34"/>
      <c r="C102" s="67"/>
      <c r="D102" s="67"/>
      <c r="E102" s="35"/>
      <c r="F102" s="159"/>
      <c r="G102" s="82"/>
      <c r="H102" s="159"/>
      <c r="I102" s="82"/>
      <c r="J102" s="159"/>
      <c r="K102" s="82"/>
      <c r="L102" s="159"/>
      <c r="M102" s="82"/>
    </row>
    <row r="103" spans="1:14" ht="16.5" customHeight="1">
      <c r="B103" s="378" t="s">
        <v>364</v>
      </c>
      <c r="C103" s="62"/>
      <c r="D103" s="62"/>
      <c r="E103" s="380"/>
      <c r="F103" s="159">
        <v>13140.33</v>
      </c>
      <c r="G103" s="82">
        <f>ROUND(F103/$R$52,0)</f>
        <v>13645</v>
      </c>
      <c r="H103" s="159">
        <v>14791</v>
      </c>
      <c r="I103" s="82">
        <f>ROUND(H103/$R$54,0)</f>
        <v>15312</v>
      </c>
      <c r="J103" s="159">
        <v>14257.54</v>
      </c>
      <c r="K103" s="82">
        <f>ROUND(J103/$R$56,0)</f>
        <v>14258</v>
      </c>
      <c r="L103" s="159"/>
      <c r="M103" s="82"/>
    </row>
    <row r="104" spans="1:14" ht="16.5" customHeight="1">
      <c r="A104" s="33"/>
      <c r="B104" s="34"/>
      <c r="C104" s="67"/>
      <c r="D104" s="67"/>
      <c r="E104" s="35"/>
      <c r="F104" s="375"/>
      <c r="G104" s="82"/>
      <c r="H104" s="375"/>
      <c r="I104" s="82"/>
      <c r="J104" s="375"/>
      <c r="K104" s="82"/>
      <c r="L104" s="375"/>
      <c r="M104" s="82"/>
    </row>
    <row r="105" spans="1:14" ht="16.5" customHeight="1">
      <c r="B105" s="66" t="s">
        <v>373</v>
      </c>
      <c r="C105" s="67"/>
      <c r="D105" s="67"/>
      <c r="E105" s="35"/>
      <c r="F105" s="159" t="s">
        <v>139</v>
      </c>
      <c r="G105" s="172" t="s">
        <v>139</v>
      </c>
      <c r="H105" s="159" t="s">
        <v>139</v>
      </c>
      <c r="I105" s="172" t="s">
        <v>139</v>
      </c>
      <c r="J105" s="159" t="s">
        <v>139</v>
      </c>
      <c r="K105" s="172" t="s">
        <v>139</v>
      </c>
      <c r="L105" s="159"/>
      <c r="M105" s="172"/>
    </row>
    <row r="106" spans="1:14" ht="16.5" customHeight="1">
      <c r="B106" s="66" t="s">
        <v>374</v>
      </c>
      <c r="C106" s="67"/>
      <c r="D106" s="67"/>
      <c r="E106" s="35"/>
      <c r="F106" s="159">
        <v>434.77</v>
      </c>
      <c r="G106" s="82">
        <f>ROUND(F106/$R$52,0)</f>
        <v>451</v>
      </c>
      <c r="H106" s="159">
        <v>642</v>
      </c>
      <c r="I106" s="82">
        <f>ROUND(H106/$R$54,0)</f>
        <v>665</v>
      </c>
      <c r="J106" s="159">
        <v>460.45</v>
      </c>
      <c r="K106" s="82">
        <f>ROUND(J106/$R$56,0)</f>
        <v>460</v>
      </c>
      <c r="L106" s="159"/>
      <c r="M106" s="82"/>
    </row>
    <row r="107" spans="1:14" ht="16.5" customHeight="1">
      <c r="B107" s="66" t="s">
        <v>375</v>
      </c>
      <c r="C107" s="67"/>
      <c r="D107" s="67"/>
      <c r="E107" s="35"/>
      <c r="F107" s="159">
        <v>2168.19</v>
      </c>
      <c r="G107" s="82">
        <f>ROUND(F107/$R$52,0)</f>
        <v>2251</v>
      </c>
      <c r="H107" s="159">
        <v>2365</v>
      </c>
      <c r="I107" s="82">
        <f>ROUND(H107/$R$54,0)</f>
        <v>2448</v>
      </c>
      <c r="J107" s="159">
        <v>4906.8500000000004</v>
      </c>
      <c r="K107" s="82">
        <f>ROUND(J107/$R$56,0)</f>
        <v>4907</v>
      </c>
      <c r="L107" s="159"/>
      <c r="M107" s="82"/>
    </row>
    <row r="108" spans="1:14" ht="16.5" customHeight="1">
      <c r="B108" s="66" t="s">
        <v>376</v>
      </c>
      <c r="C108" s="67"/>
      <c r="D108" s="67"/>
      <c r="E108" s="35"/>
      <c r="F108" s="159">
        <v>1521.72</v>
      </c>
      <c r="G108" s="82">
        <f>ROUND(F108/$R$52,0)</f>
        <v>1580</v>
      </c>
      <c r="H108" s="159">
        <v>1254</v>
      </c>
      <c r="I108" s="82">
        <f>ROUND(H108/$R$54,0)</f>
        <v>1298</v>
      </c>
      <c r="J108" s="159">
        <v>1062.05</v>
      </c>
      <c r="K108" s="82">
        <f>ROUND(J108/$R$56,0)</f>
        <v>1062</v>
      </c>
      <c r="L108" s="159"/>
      <c r="M108" s="82"/>
    </row>
    <row r="109" spans="1:14" ht="16.5" customHeight="1">
      <c r="A109" s="33"/>
      <c r="B109" s="66" t="s">
        <v>377</v>
      </c>
      <c r="C109" s="67"/>
      <c r="D109" s="67"/>
      <c r="E109" s="35"/>
      <c r="F109" s="159" t="s">
        <v>139</v>
      </c>
      <c r="G109" s="172" t="s">
        <v>139</v>
      </c>
      <c r="H109" s="159" t="s">
        <v>139</v>
      </c>
      <c r="I109" s="172" t="s">
        <v>139</v>
      </c>
      <c r="J109" s="159" t="s">
        <v>139</v>
      </c>
      <c r="K109" s="172" t="s">
        <v>139</v>
      </c>
      <c r="L109" s="159"/>
      <c r="M109" s="172"/>
    </row>
    <row r="110" spans="1:14" ht="16.5" customHeight="1">
      <c r="B110" s="66" t="s">
        <v>378</v>
      </c>
      <c r="C110" s="67"/>
      <c r="D110" s="67"/>
      <c r="E110" s="35"/>
      <c r="F110" s="159">
        <v>158.86000000000001</v>
      </c>
      <c r="G110" s="82">
        <f>ROUND(F110/$R$52,0)</f>
        <v>165</v>
      </c>
      <c r="H110" s="159">
        <v>55</v>
      </c>
      <c r="I110" s="82">
        <f>ROUND(H110/$R$54,0)</f>
        <v>57</v>
      </c>
      <c r="J110" s="159">
        <v>73.77</v>
      </c>
      <c r="K110" s="82">
        <f>ROUND(J110/$R$56,0)</f>
        <v>74</v>
      </c>
      <c r="L110" s="159"/>
      <c r="M110" s="82"/>
    </row>
    <row r="111" spans="1:14" ht="16.5" customHeight="1">
      <c r="B111" s="365"/>
      <c r="C111" s="69"/>
      <c r="D111" s="69"/>
      <c r="E111" s="212"/>
      <c r="F111" s="376"/>
      <c r="G111" s="377"/>
      <c r="H111" s="376"/>
      <c r="I111" s="377"/>
      <c r="J111" s="376"/>
      <c r="K111" s="377"/>
      <c r="L111" s="376"/>
      <c r="M111" s="377"/>
    </row>
    <row r="112" spans="1:14" ht="16.5" customHeight="1">
      <c r="B112" s="1"/>
      <c r="C112" s="113"/>
      <c r="D112" s="113"/>
      <c r="E112" s="30"/>
      <c r="F112" s="30"/>
      <c r="G112" s="30"/>
      <c r="H112" s="30"/>
      <c r="M112" s="71" t="s">
        <v>534</v>
      </c>
      <c r="N112" s="95"/>
    </row>
    <row r="113" spans="2:8" ht="16.5" customHeight="1">
      <c r="B113" s="94" t="s">
        <v>529</v>
      </c>
      <c r="C113" s="113"/>
      <c r="D113" s="113"/>
      <c r="E113" s="30"/>
      <c r="F113" s="30"/>
      <c r="G113" s="30"/>
      <c r="H113" s="30"/>
    </row>
    <row r="114" spans="2:8" ht="16.5" customHeight="1">
      <c r="B114" s="1" t="s">
        <v>430</v>
      </c>
    </row>
    <row r="115" spans="2:8" ht="16.5" customHeight="1">
      <c r="B115" s="94" t="s">
        <v>531</v>
      </c>
    </row>
    <row r="116" spans="2:8" ht="18" customHeight="1">
      <c r="B116" s="94" t="s">
        <v>599</v>
      </c>
    </row>
  </sheetData>
  <mergeCells count="17">
    <mergeCell ref="B88:E90"/>
    <mergeCell ref="H89:H90"/>
    <mergeCell ref="J89:J90"/>
    <mergeCell ref="L89:L90"/>
    <mergeCell ref="M30:M31"/>
    <mergeCell ref="F89:F90"/>
    <mergeCell ref="B29:D31"/>
    <mergeCell ref="B2:D3"/>
    <mergeCell ref="E2:L2"/>
    <mergeCell ref="B58:D60"/>
    <mergeCell ref="E59:E60"/>
    <mergeCell ref="G59:G60"/>
    <mergeCell ref="I58:L60"/>
    <mergeCell ref="E30:E31"/>
    <mergeCell ref="G30:G31"/>
    <mergeCell ref="I30:I31"/>
    <mergeCell ref="K30:K31"/>
  </mergeCells>
  <phoneticPr fontId="14"/>
  <pageMargins left="0.59055118110236227" right="0.59055118110236227" top="1.3779527559055118" bottom="0.78740157480314965" header="0.98425196850393704" footer="0.51181102362204722"/>
  <pageSetup paperSize="9" orientation="landscape" horizontalDpi="1200" verticalDpi="1200" r:id="rId1"/>
  <headerFooter alignWithMargins="0">
    <oddHeader>&amp;L&amp;"HGｺﾞｼｯｸM,ﾒﾃﾞｨｳﾑ"&amp;16産業中分類別商業販売額&amp;R&amp;"HGｺﾞｼｯｸM,ﾒﾃﾞｨｳﾑ"
高森町　②産業　C0202-3産業中分類別商業販売額</oddHeader>
    <oddFooter>&amp;R&amp;"HGｺﾞｼｯｸM,ﾒﾃﾞｨｳﾑ"C0202-3産業中分類別商業販売額　&amp;P/5</oddFooter>
  </headerFooter>
  <drawing r:id="rId2"/>
</worksheet>
</file>

<file path=xl/worksheets/sheet11.xml><?xml version="1.0" encoding="utf-8"?>
<worksheet xmlns="http://schemas.openxmlformats.org/spreadsheetml/2006/main" xmlns:r="http://schemas.openxmlformats.org/officeDocument/2006/relationships">
  <dimension ref="B1:AG28"/>
  <sheetViews>
    <sheetView showGridLines="0" tabSelected="1" topLeftCell="E1" zoomScaleNormal="100" zoomScaleSheetLayoutView="100" workbookViewId="0">
      <selection activeCell="J11" sqref="J11"/>
    </sheetView>
  </sheetViews>
  <sheetFormatPr defaultColWidth="8.875" defaultRowHeight="18" customHeight="1"/>
  <cols>
    <col min="1" max="1" width="1.75" style="1" customWidth="1"/>
    <col min="2" max="2" width="5.5" style="85" customWidth="1"/>
    <col min="3" max="3" width="10.75" style="1" customWidth="1"/>
    <col min="4" max="4" width="13" style="1" customWidth="1"/>
    <col min="5" max="12" width="13" style="189" customWidth="1"/>
    <col min="13" max="14" width="1.75" style="1" customWidth="1"/>
    <col min="15" max="15" width="5.5" style="85" customWidth="1"/>
    <col min="16" max="18" width="9.75" style="1" customWidth="1"/>
    <col min="19" max="28" width="9.75" style="189" customWidth="1"/>
    <col min="29" max="30" width="1.75" style="1" customWidth="1"/>
    <col min="31" max="31" width="8.875" style="1"/>
    <col min="32" max="32" width="9" style="1" bestFit="1" customWidth="1"/>
    <col min="33" max="33" width="6.375" style="1" bestFit="1" customWidth="1"/>
    <col min="34" max="16384" width="8.875" style="1"/>
  </cols>
  <sheetData>
    <row r="1" spans="2:33" ht="4.5" customHeight="1">
      <c r="B1" s="183"/>
      <c r="C1" s="183"/>
      <c r="D1" s="183"/>
      <c r="E1" s="183"/>
      <c r="F1" s="183"/>
      <c r="G1" s="183"/>
      <c r="H1" s="183"/>
      <c r="I1" s="183"/>
      <c r="J1" s="183"/>
      <c r="K1" s="183"/>
      <c r="L1" s="183"/>
      <c r="O1" s="183"/>
      <c r="P1" s="183"/>
      <c r="Q1" s="183"/>
      <c r="R1" s="183"/>
      <c r="S1" s="183"/>
      <c r="T1" s="183"/>
      <c r="U1" s="183"/>
      <c r="V1" s="183"/>
      <c r="W1" s="183"/>
      <c r="X1" s="183"/>
      <c r="Y1" s="183"/>
      <c r="Z1" s="183"/>
      <c r="AA1" s="1"/>
      <c r="AB1" s="1"/>
    </row>
    <row r="2" spans="2:33" ht="17.25" customHeight="1">
      <c r="B2" s="486" t="s">
        <v>600</v>
      </c>
      <c r="C2" s="183"/>
      <c r="D2" s="183"/>
      <c r="E2" s="183"/>
      <c r="F2" s="183"/>
      <c r="G2" s="183"/>
      <c r="H2" s="183"/>
      <c r="I2" s="183"/>
      <c r="J2" s="183"/>
      <c r="K2" s="183"/>
      <c r="L2" s="190" t="s">
        <v>382</v>
      </c>
      <c r="O2" s="487" t="s">
        <v>601</v>
      </c>
      <c r="P2" s="487"/>
      <c r="Q2" s="488"/>
      <c r="R2" s="489"/>
      <c r="S2" s="489"/>
      <c r="T2" s="490"/>
      <c r="U2" s="490"/>
      <c r="V2" s="490"/>
      <c r="W2" s="490"/>
      <c r="X2" s="490"/>
      <c r="Y2" s="490"/>
      <c r="Z2" s="487"/>
      <c r="AA2" s="487"/>
      <c r="AB2" s="487"/>
    </row>
    <row r="3" spans="2:33" ht="19.5" customHeight="1">
      <c r="B3" s="652"/>
      <c r="C3" s="685"/>
      <c r="D3" s="686"/>
      <c r="E3" s="191" t="s">
        <v>539</v>
      </c>
      <c r="F3" s="191" t="s">
        <v>537</v>
      </c>
      <c r="G3" s="191" t="s">
        <v>432</v>
      </c>
      <c r="H3" s="192" t="s">
        <v>195</v>
      </c>
      <c r="I3" s="191" t="s">
        <v>444</v>
      </c>
      <c r="J3" s="191" t="s">
        <v>445</v>
      </c>
      <c r="K3" s="191" t="s">
        <v>446</v>
      </c>
      <c r="L3" s="193" t="s">
        <v>447</v>
      </c>
      <c r="O3" s="487"/>
      <c r="P3" s="487"/>
      <c r="Q3" s="491" t="s">
        <v>385</v>
      </c>
      <c r="R3" s="487"/>
      <c r="S3" s="487"/>
      <c r="T3" s="487"/>
      <c r="U3" s="487"/>
      <c r="V3" s="487"/>
      <c r="W3" s="487"/>
      <c r="X3" s="487"/>
      <c r="Y3" s="487"/>
      <c r="Z3" s="487"/>
      <c r="AA3" s="487"/>
      <c r="AB3" s="487"/>
    </row>
    <row r="4" spans="2:33" s="33" customFormat="1" ht="19.5" customHeight="1">
      <c r="B4" s="708"/>
      <c r="C4" s="709"/>
      <c r="D4" s="711"/>
      <c r="E4" s="479" t="s">
        <v>540</v>
      </c>
      <c r="F4" s="484" t="s">
        <v>538</v>
      </c>
      <c r="G4" s="484" t="s">
        <v>536</v>
      </c>
      <c r="H4" s="194" t="s">
        <v>535</v>
      </c>
      <c r="I4" s="194" t="s">
        <v>506</v>
      </c>
      <c r="J4" s="194" t="s">
        <v>507</v>
      </c>
      <c r="K4" s="194" t="s">
        <v>508</v>
      </c>
      <c r="L4" s="480" t="s">
        <v>509</v>
      </c>
      <c r="O4" s="492" t="s">
        <v>241</v>
      </c>
      <c r="P4" s="493" t="s">
        <v>242</v>
      </c>
      <c r="Q4" s="492" t="s">
        <v>243</v>
      </c>
      <c r="R4" s="492" t="s">
        <v>244</v>
      </c>
      <c r="S4" s="492" t="s">
        <v>245</v>
      </c>
      <c r="T4" s="492" t="s">
        <v>246</v>
      </c>
      <c r="U4" s="492" t="s">
        <v>247</v>
      </c>
      <c r="V4" s="492" t="s">
        <v>248</v>
      </c>
      <c r="W4" s="492" t="s">
        <v>249</v>
      </c>
      <c r="X4" s="492" t="s">
        <v>250</v>
      </c>
      <c r="Y4" s="492" t="s">
        <v>396</v>
      </c>
      <c r="Z4" s="492" t="s">
        <v>245</v>
      </c>
      <c r="AA4" s="494" t="s">
        <v>397</v>
      </c>
      <c r="AB4" s="494" t="s">
        <v>550</v>
      </c>
      <c r="AE4" s="33" t="s">
        <v>560</v>
      </c>
      <c r="AF4" s="540" t="s">
        <v>562</v>
      </c>
    </row>
    <row r="5" spans="2:33" ht="19.5" customHeight="1">
      <c r="B5" s="712" t="s">
        <v>386</v>
      </c>
      <c r="C5" s="720"/>
      <c r="D5" s="713"/>
      <c r="E5" s="485">
        <f>'C0202-3商業販売額'!L33</f>
        <v>27708</v>
      </c>
      <c r="F5" s="477">
        <f>'C0202-3商業販売額'!F62</f>
        <v>27013</v>
      </c>
      <c r="G5" s="477">
        <f>'C0202-3商業販売額'!G92</f>
        <v>25257</v>
      </c>
      <c r="H5" s="478">
        <f>'C0202-3商業販売額'!K92</f>
        <v>28781</v>
      </c>
      <c r="I5" s="199"/>
      <c r="J5" s="200"/>
      <c r="K5" s="292"/>
      <c r="L5" s="201"/>
      <c r="O5" s="495" t="s">
        <v>488</v>
      </c>
      <c r="P5" s="496">
        <v>-10</v>
      </c>
      <c r="Q5" s="497">
        <f>AF6</f>
        <v>17826</v>
      </c>
      <c r="R5" s="498">
        <f>P5*Q5</f>
        <v>-178260</v>
      </c>
      <c r="S5" s="498">
        <f>P5*P5</f>
        <v>100</v>
      </c>
      <c r="T5" s="498">
        <f>S5*Q5</f>
        <v>1782600</v>
      </c>
      <c r="U5" s="498">
        <f>S5*S5</f>
        <v>10000</v>
      </c>
      <c r="V5" s="499">
        <f>LOG10(Q5)</f>
        <v>4.2510539021873077</v>
      </c>
      <c r="W5" s="499">
        <f>P5*V5</f>
        <v>-42.510539021873079</v>
      </c>
      <c r="X5" s="496">
        <v>0</v>
      </c>
      <c r="Y5" s="500"/>
      <c r="Z5" s="500"/>
      <c r="AA5" s="501">
        <f>ROUNDDOWN(((Q5/Q9)*100),2)</f>
        <v>61.93</v>
      </c>
      <c r="AB5" s="502"/>
      <c r="AE5" s="1" t="s">
        <v>545</v>
      </c>
      <c r="AF5" s="537">
        <v>14738</v>
      </c>
    </row>
    <row r="6" spans="2:33" ht="19.5" customHeight="1">
      <c r="B6" s="696" t="s">
        <v>198</v>
      </c>
      <c r="C6" s="697"/>
      <c r="D6" s="204" t="s">
        <v>199</v>
      </c>
      <c r="E6" s="205"/>
      <c r="F6" s="205"/>
      <c r="G6" s="205"/>
      <c r="H6" s="205"/>
      <c r="I6" s="444">
        <f>S21</f>
        <v>31519</v>
      </c>
      <c r="J6" s="444">
        <f>U21</f>
        <v>34258</v>
      </c>
      <c r="K6" s="444">
        <f>W21</f>
        <v>36996</v>
      </c>
      <c r="L6" s="445">
        <f>Y21</f>
        <v>39735</v>
      </c>
      <c r="O6" s="495" t="s">
        <v>108</v>
      </c>
      <c r="P6" s="496">
        <v>-5</v>
      </c>
      <c r="Q6" s="503">
        <f>AF11</f>
        <v>28142</v>
      </c>
      <c r="R6" s="498">
        <f>P6*Q6</f>
        <v>-140710</v>
      </c>
      <c r="S6" s="498">
        <f>P6*P6</f>
        <v>25</v>
      </c>
      <c r="T6" s="498">
        <f>S6*Q6</f>
        <v>703550</v>
      </c>
      <c r="U6" s="498">
        <f>S6*S6</f>
        <v>625</v>
      </c>
      <c r="V6" s="499">
        <f>LOG10(Q6)</f>
        <v>4.4493549587027985</v>
      </c>
      <c r="W6" s="499">
        <f>P6*V6</f>
        <v>-22.246774793513993</v>
      </c>
      <c r="X6" s="496">
        <v>5</v>
      </c>
      <c r="Y6" s="500">
        <f>LOG10(X6)</f>
        <v>0.69897000433601886</v>
      </c>
      <c r="Z6" s="500">
        <f>Y6*Y6</f>
        <v>0.4885590669614942</v>
      </c>
      <c r="AA6" s="501">
        <f>ROUNDDOWN(((Q6/Q9)*100),2)</f>
        <v>97.77</v>
      </c>
      <c r="AB6" s="501">
        <f>(AA6-AA5)</f>
        <v>35.839999999999996</v>
      </c>
      <c r="AE6" s="534" t="s">
        <v>559</v>
      </c>
      <c r="AF6" s="1">
        <f>AF5+AG6</f>
        <v>17826</v>
      </c>
      <c r="AG6" s="534">
        <f>ROUND((AF8-AF5)/3,0)</f>
        <v>3088</v>
      </c>
    </row>
    <row r="7" spans="2:33" ht="19.5" customHeight="1">
      <c r="B7" s="504"/>
      <c r="C7" s="67"/>
      <c r="D7" s="35" t="s">
        <v>200</v>
      </c>
      <c r="E7" s="207"/>
      <c r="F7" s="207"/>
      <c r="G7" s="207"/>
      <c r="H7" s="207"/>
      <c r="I7" s="208">
        <f t="shared" ref="I7:I10" si="0">S22</f>
        <v>32442</v>
      </c>
      <c r="J7" s="208">
        <f t="shared" ref="J7:J10" si="1">U22</f>
        <v>36569</v>
      </c>
      <c r="K7" s="208">
        <f t="shared" ref="K7:K10" si="2">W22</f>
        <v>41222</v>
      </c>
      <c r="L7" s="210">
        <f t="shared" ref="L7:L10" si="3">Y22</f>
        <v>46466</v>
      </c>
      <c r="O7" s="495" t="s">
        <v>254</v>
      </c>
      <c r="P7" s="496">
        <v>0</v>
      </c>
      <c r="Q7" s="505">
        <f>AF16</f>
        <v>27893</v>
      </c>
      <c r="R7" s="498">
        <f>P7*Q7</f>
        <v>0</v>
      </c>
      <c r="S7" s="498">
        <f>P7*P7</f>
        <v>0</v>
      </c>
      <c r="T7" s="498">
        <f>S7*Q7</f>
        <v>0</v>
      </c>
      <c r="U7" s="498">
        <f>S7*S7</f>
        <v>0</v>
      </c>
      <c r="V7" s="499">
        <f>LOG10(Q7)</f>
        <v>4.4454952268289079</v>
      </c>
      <c r="W7" s="499">
        <f>P7*V7</f>
        <v>0</v>
      </c>
      <c r="X7" s="496">
        <v>10</v>
      </c>
      <c r="Y7" s="500">
        <f>LOG10(X7)</f>
        <v>1</v>
      </c>
      <c r="Z7" s="500">
        <f>Y7*Y7</f>
        <v>1</v>
      </c>
      <c r="AA7" s="501">
        <f>ROUNDDOWN(((Q7/Q9)*100),2)</f>
        <v>96.91</v>
      </c>
      <c r="AB7" s="501">
        <f>(AA7-AA5)</f>
        <v>34.979999999999997</v>
      </c>
      <c r="AE7" s="534" t="s">
        <v>557</v>
      </c>
      <c r="AF7" s="534">
        <f>AF6+AG6</f>
        <v>20914</v>
      </c>
    </row>
    <row r="8" spans="2:33" ht="19.5" customHeight="1">
      <c r="B8" s="504"/>
      <c r="C8" s="67"/>
      <c r="D8" s="35" t="s">
        <v>201</v>
      </c>
      <c r="E8" s="207"/>
      <c r="F8" s="207"/>
      <c r="G8" s="207"/>
      <c r="H8" s="207"/>
      <c r="I8" s="208">
        <f t="shared" si="0"/>
        <v>31829</v>
      </c>
      <c r="J8" s="208">
        <f t="shared" si="1"/>
        <v>33839</v>
      </c>
      <c r="K8" s="208">
        <f t="shared" si="2"/>
        <v>35849</v>
      </c>
      <c r="L8" s="210">
        <f t="shared" si="3"/>
        <v>33839</v>
      </c>
      <c r="O8" s="506" t="s">
        <v>542</v>
      </c>
      <c r="P8" s="496">
        <v>5</v>
      </c>
      <c r="Q8" s="507">
        <f>AF21</f>
        <v>26356</v>
      </c>
      <c r="R8" s="498">
        <f>P8*Q8</f>
        <v>131780</v>
      </c>
      <c r="S8" s="498">
        <f>P8*P8</f>
        <v>25</v>
      </c>
      <c r="T8" s="498">
        <f>S8*Q8</f>
        <v>658900</v>
      </c>
      <c r="U8" s="498">
        <f>S8*S8</f>
        <v>625</v>
      </c>
      <c r="V8" s="499">
        <f>LOG10(Q8)</f>
        <v>4.4208794988754985</v>
      </c>
      <c r="W8" s="499">
        <f>P8*V8</f>
        <v>22.104397494377494</v>
      </c>
      <c r="X8" s="496">
        <v>15</v>
      </c>
      <c r="Y8" s="500">
        <f>LOG10(X8)</f>
        <v>1.1760912590556813</v>
      </c>
      <c r="Z8" s="500">
        <f>Y8*Y8</f>
        <v>1.3831906496271777</v>
      </c>
      <c r="AA8" s="501">
        <f>ROUNDDOWN(((Q8/Q9)*100),2)</f>
        <v>91.57</v>
      </c>
      <c r="AB8" s="501">
        <f>(AA8-AA5)</f>
        <v>29.639999999999993</v>
      </c>
      <c r="AE8" s="1" t="s">
        <v>546</v>
      </c>
      <c r="AF8" s="537">
        <v>24002</v>
      </c>
      <c r="AG8" s="534">
        <f>AF7+AG6</f>
        <v>24002</v>
      </c>
    </row>
    <row r="9" spans="2:33" ht="19.5" customHeight="1">
      <c r="B9" s="504"/>
      <c r="C9" s="67"/>
      <c r="D9" s="35" t="s">
        <v>202</v>
      </c>
      <c r="E9" s="207"/>
      <c r="F9" s="207"/>
      <c r="G9" s="207"/>
      <c r="H9" s="207"/>
      <c r="I9" s="208">
        <f t="shared" si="0"/>
        <v>34412</v>
      </c>
      <c r="J9" s="208">
        <f t="shared" si="1"/>
        <v>36425</v>
      </c>
      <c r="K9" s="208">
        <f t="shared" si="2"/>
        <v>38437</v>
      </c>
      <c r="L9" s="210">
        <f t="shared" si="3"/>
        <v>36425</v>
      </c>
      <c r="O9" s="506" t="s">
        <v>541</v>
      </c>
      <c r="P9" s="508">
        <v>10</v>
      </c>
      <c r="Q9" s="497">
        <f>AF26</f>
        <v>28781</v>
      </c>
      <c r="R9" s="509">
        <f>P9*Q9</f>
        <v>287810</v>
      </c>
      <c r="S9" s="509">
        <f>P9*P9</f>
        <v>100</v>
      </c>
      <c r="T9" s="509">
        <f>S9*Q9</f>
        <v>2878100</v>
      </c>
      <c r="U9" s="509">
        <f>S9*S9</f>
        <v>10000</v>
      </c>
      <c r="V9" s="510">
        <f>LOG10(Q9)</f>
        <v>4.4591058794872094</v>
      </c>
      <c r="W9" s="510">
        <f>P9*V9</f>
        <v>44.591058794872097</v>
      </c>
      <c r="X9" s="508">
        <v>20</v>
      </c>
      <c r="Y9" s="511">
        <f>LOG10(X9)</f>
        <v>1.3010299956639813</v>
      </c>
      <c r="Z9" s="511">
        <f>Y9*Y9</f>
        <v>1.6926790496174191</v>
      </c>
      <c r="AA9" s="512">
        <v>100</v>
      </c>
      <c r="AB9" s="501">
        <f>(AA9-AA5)</f>
        <v>38.07</v>
      </c>
      <c r="AE9" s="534" t="s">
        <v>558</v>
      </c>
      <c r="AF9" s="1">
        <f>AF8+AG9</f>
        <v>25855</v>
      </c>
      <c r="AG9" s="534">
        <f>ROUND((AF10-AF8)/2,0)</f>
        <v>1853</v>
      </c>
    </row>
    <row r="10" spans="2:33" s="487" customFormat="1" ht="19.5" customHeight="1">
      <c r="B10" s="513"/>
      <c r="C10" s="69"/>
      <c r="D10" s="212" t="s">
        <v>284</v>
      </c>
      <c r="E10" s="213"/>
      <c r="F10" s="213"/>
      <c r="G10" s="213"/>
      <c r="H10" s="213"/>
      <c r="I10" s="214">
        <f t="shared" si="0"/>
        <v>33224</v>
      </c>
      <c r="J10" s="214">
        <f t="shared" si="1"/>
        <v>36325</v>
      </c>
      <c r="K10" s="214">
        <f t="shared" si="2"/>
        <v>39717</v>
      </c>
      <c r="L10" s="216">
        <f t="shared" si="3"/>
        <v>36325</v>
      </c>
      <c r="O10" s="514" t="s">
        <v>256</v>
      </c>
      <c r="P10" s="508"/>
      <c r="Q10" s="509">
        <f>SUM(Q5:Q9)</f>
        <v>128998</v>
      </c>
      <c r="R10" s="509">
        <f t="shared" ref="R10" si="4">SUM(R5:R9)</f>
        <v>100620</v>
      </c>
      <c r="S10" s="509">
        <f>SUM(S5:S9)</f>
        <v>250</v>
      </c>
      <c r="T10" s="509">
        <f t="shared" ref="T10:W10" si="5">SUM(T5:T9)</f>
        <v>6023150</v>
      </c>
      <c r="U10" s="509">
        <f t="shared" si="5"/>
        <v>21250</v>
      </c>
      <c r="V10" s="510">
        <f t="shared" si="5"/>
        <v>22.025889466081722</v>
      </c>
      <c r="W10" s="510">
        <f t="shared" si="5"/>
        <v>1.9381424738625128</v>
      </c>
      <c r="X10" s="508">
        <v>5</v>
      </c>
      <c r="Y10" s="511">
        <f>SUM(Y6:Y9)</f>
        <v>4.1760912590556813</v>
      </c>
      <c r="Z10" s="511">
        <f>SUM(Z6:Z9)</f>
        <v>4.5644287662060909</v>
      </c>
      <c r="AA10" s="515"/>
      <c r="AB10" s="502"/>
      <c r="AE10" s="1" t="s">
        <v>551</v>
      </c>
      <c r="AF10" s="537">
        <v>27708</v>
      </c>
      <c r="AG10" s="534">
        <f>AF9+AG9</f>
        <v>27708</v>
      </c>
    </row>
    <row r="11" spans="2:33" s="516" customFormat="1" ht="17.100000000000001" customHeight="1">
      <c r="B11" s="487"/>
      <c r="C11" s="487"/>
      <c r="D11" s="487"/>
      <c r="E11" s="487"/>
      <c r="F11" s="487"/>
      <c r="G11" s="487"/>
      <c r="H11" s="487"/>
      <c r="I11" s="487"/>
      <c r="J11" s="487"/>
      <c r="K11" s="487"/>
      <c r="L11" s="487"/>
      <c r="M11" s="487"/>
      <c r="O11" s="517" t="s">
        <v>561</v>
      </c>
      <c r="P11" s="518"/>
      <c r="Q11" s="519"/>
      <c r="R11" s="517"/>
      <c r="S11" s="520"/>
      <c r="T11" s="518"/>
      <c r="U11" s="518"/>
      <c r="V11" s="518"/>
      <c r="W11" s="518"/>
      <c r="X11" s="517"/>
      <c r="Y11" s="517"/>
      <c r="Z11" s="521"/>
      <c r="AA11" s="517"/>
      <c r="AB11" s="487"/>
      <c r="AC11" s="487"/>
      <c r="AE11" s="534" t="s">
        <v>543</v>
      </c>
      <c r="AF11" s="534">
        <f>AF10+AG11</f>
        <v>28142</v>
      </c>
      <c r="AG11" s="534">
        <f>ROUND((AF13-AF10)/3,0)</f>
        <v>434</v>
      </c>
    </row>
    <row r="12" spans="2:33" s="487" customFormat="1" ht="17.100000000000001" customHeight="1">
      <c r="M12" s="522"/>
      <c r="O12" s="518"/>
      <c r="P12" s="518"/>
      <c r="Q12" s="519"/>
      <c r="R12" s="523" t="s">
        <v>258</v>
      </c>
      <c r="S12" s="517"/>
      <c r="T12" s="517"/>
      <c r="U12" s="517"/>
      <c r="V12" s="517"/>
      <c r="W12" s="517"/>
      <c r="X12" s="517"/>
      <c r="Y12" s="517"/>
      <c r="Z12" s="521"/>
      <c r="AA12" s="517"/>
      <c r="AC12" s="522"/>
      <c r="AE12" s="534" t="s">
        <v>121</v>
      </c>
      <c r="AF12" s="534">
        <f>AF11+AG11</f>
        <v>28576</v>
      </c>
    </row>
    <row r="13" spans="2:33" s="487" customFormat="1" ht="17.100000000000001" customHeight="1">
      <c r="H13" s="490"/>
      <c r="I13" s="490"/>
      <c r="J13" s="490"/>
      <c r="K13" s="490"/>
      <c r="L13" s="490"/>
      <c r="M13" s="490"/>
      <c r="P13" s="517"/>
      <c r="Q13" s="519"/>
      <c r="R13" s="514" t="s">
        <v>259</v>
      </c>
      <c r="S13" s="514" t="s">
        <v>260</v>
      </c>
      <c r="T13" s="514" t="s">
        <v>261</v>
      </c>
      <c r="U13" s="514" t="s">
        <v>401</v>
      </c>
      <c r="V13" s="514" t="s">
        <v>263</v>
      </c>
      <c r="W13" s="524" t="s">
        <v>264</v>
      </c>
      <c r="X13" s="730" t="s">
        <v>265</v>
      </c>
      <c r="Y13" s="731"/>
      <c r="Z13" s="521"/>
      <c r="AA13" s="517"/>
      <c r="AC13" s="490"/>
      <c r="AE13" s="1" t="s">
        <v>547</v>
      </c>
      <c r="AF13" s="537">
        <v>29010</v>
      </c>
      <c r="AG13" s="534">
        <f>AF12+AG11</f>
        <v>29010</v>
      </c>
    </row>
    <row r="14" spans="2:33" s="487" customFormat="1" ht="17.100000000000001" customHeight="1">
      <c r="H14" s="490"/>
      <c r="I14" s="490"/>
      <c r="J14" s="490"/>
      <c r="K14" s="490"/>
      <c r="L14" s="490"/>
      <c r="M14" s="525"/>
      <c r="O14" s="517"/>
      <c r="P14" s="517"/>
      <c r="Q14" s="519"/>
      <c r="R14" s="514" t="s">
        <v>266</v>
      </c>
      <c r="S14" s="514" t="s">
        <v>267</v>
      </c>
      <c r="T14" s="515">
        <f>ROUNDDOWN((Q9-Q5)/20,1)</f>
        <v>547.70000000000005</v>
      </c>
      <c r="U14" s="515"/>
      <c r="V14" s="515"/>
      <c r="W14" s="526"/>
      <c r="X14" s="526" t="s">
        <v>553</v>
      </c>
      <c r="Y14" s="527"/>
      <c r="Z14" s="521"/>
      <c r="AA14" s="517"/>
      <c r="AB14" s="33"/>
      <c r="AC14" s="525"/>
      <c r="AE14" s="534" t="s">
        <v>117</v>
      </c>
      <c r="AF14" s="1">
        <f>AF13+AG14</f>
        <v>28011</v>
      </c>
      <c r="AG14" s="534">
        <f>ROUND((AF15-AF13)/2,0)</f>
        <v>-999</v>
      </c>
    </row>
    <row r="15" spans="2:33" s="487" customFormat="1" ht="17.100000000000001" customHeight="1">
      <c r="H15" s="490"/>
      <c r="I15" s="490"/>
      <c r="J15" s="490"/>
      <c r="K15" s="490"/>
      <c r="L15" s="490"/>
      <c r="M15" s="518"/>
      <c r="N15" s="519"/>
      <c r="R15" s="514" t="s">
        <v>268</v>
      </c>
      <c r="S15" s="514" t="s">
        <v>269</v>
      </c>
      <c r="T15" s="515">
        <f>ROUNDDOWN(POWER(10,LOG10(Q9/Q5)/20)-1,5)</f>
        <v>2.4240000000000001E-2</v>
      </c>
      <c r="U15" s="515"/>
      <c r="V15" s="515"/>
      <c r="W15" s="526"/>
      <c r="X15" s="526" t="s">
        <v>553</v>
      </c>
      <c r="Y15" s="528"/>
      <c r="Z15" s="525"/>
      <c r="AE15" s="1" t="s">
        <v>552</v>
      </c>
      <c r="AF15" s="537">
        <v>27013</v>
      </c>
      <c r="AG15" s="534">
        <f>AF14+AG14</f>
        <v>27012</v>
      </c>
    </row>
    <row r="16" spans="2:33" s="487" customFormat="1" ht="17.100000000000001" customHeight="1">
      <c r="H16" s="490"/>
      <c r="I16" s="490"/>
      <c r="J16" s="490"/>
      <c r="K16" s="490"/>
      <c r="L16" s="490"/>
      <c r="M16" s="518"/>
      <c r="N16" s="519"/>
      <c r="R16" s="514" t="s">
        <v>270</v>
      </c>
      <c r="S16" s="514" t="s">
        <v>271</v>
      </c>
      <c r="T16" s="515"/>
      <c r="U16" s="515">
        <f>ROUNDDOWN(R10/S10,0)</f>
        <v>402</v>
      </c>
      <c r="V16" s="529">
        <f>ROUNDDOWN(Q10/X10,0)</f>
        <v>25799</v>
      </c>
      <c r="W16" s="526"/>
      <c r="X16" s="526" t="s">
        <v>553</v>
      </c>
      <c r="Y16" s="527"/>
      <c r="Z16" s="525"/>
      <c r="AE16" s="534" t="s">
        <v>119</v>
      </c>
      <c r="AF16" s="534">
        <f>AF15+AG16</f>
        <v>27893</v>
      </c>
      <c r="AG16" s="534">
        <f>ROUND((AF18-AF15)/3,0)</f>
        <v>880</v>
      </c>
    </row>
    <row r="17" spans="2:33" s="487" customFormat="1" ht="17.100000000000001" customHeight="1">
      <c r="C17" s="85"/>
      <c r="H17" s="33"/>
      <c r="I17" s="490"/>
      <c r="J17" s="490"/>
      <c r="K17" s="490"/>
      <c r="L17" s="490"/>
      <c r="M17" s="518"/>
      <c r="N17" s="519"/>
      <c r="R17" s="514" t="s">
        <v>272</v>
      </c>
      <c r="S17" s="514" t="s">
        <v>405</v>
      </c>
      <c r="T17" s="515"/>
      <c r="U17" s="515">
        <f>ROUNDDOWN(((T10-(X10*T10))/((S10*S10)-(X10*U10)))/1000,5)</f>
        <v>0.55067999999999995</v>
      </c>
      <c r="V17" s="515">
        <f>ROUNDDOWN(R10/S10,5)</f>
        <v>402.48</v>
      </c>
      <c r="W17" s="530">
        <f>ROUNDDOWN(((S10*T10)-(Q10*U10))/((S10*S10)-(X10*U10)),0)</f>
        <v>28238</v>
      </c>
      <c r="X17" s="526" t="s">
        <v>553</v>
      </c>
      <c r="Y17" s="527"/>
      <c r="Z17" s="525"/>
      <c r="AE17" s="534" t="s">
        <v>120</v>
      </c>
      <c r="AF17" s="534">
        <f>AF16+AG16</f>
        <v>28773</v>
      </c>
    </row>
    <row r="18" spans="2:33" s="487" customFormat="1" ht="17.100000000000001" customHeight="1">
      <c r="C18" s="1"/>
      <c r="H18" s="482"/>
      <c r="I18" s="490"/>
      <c r="J18" s="490"/>
      <c r="K18" s="490"/>
      <c r="L18" s="490"/>
      <c r="M18" s="518"/>
      <c r="N18" s="519"/>
      <c r="R18" s="514" t="s">
        <v>274</v>
      </c>
      <c r="S18" s="514" t="s">
        <v>406</v>
      </c>
      <c r="T18" s="515"/>
      <c r="U18" s="529">
        <f>ROUNDDOWN(POWER(10,(V10/X10)),0)</f>
        <v>25420</v>
      </c>
      <c r="V18" s="515">
        <f>ROUNDDOWN(POWER(10,(W10/S10)),5)</f>
        <v>1.0180100000000001</v>
      </c>
      <c r="W18" s="526"/>
      <c r="X18" s="526" t="s">
        <v>553</v>
      </c>
      <c r="Y18" s="527"/>
      <c r="Z18" s="490"/>
      <c r="AE18" s="487" t="s">
        <v>548</v>
      </c>
      <c r="AF18" s="538">
        <v>29653</v>
      </c>
      <c r="AG18" s="535">
        <f>AF17+AG16</f>
        <v>29653</v>
      </c>
    </row>
    <row r="19" spans="2:33" s="487" customFormat="1" ht="17.100000000000001" customHeight="1">
      <c r="B19" s="85"/>
      <c r="C19" s="1"/>
      <c r="H19" s="490"/>
      <c r="I19" s="60"/>
      <c r="J19" s="60"/>
      <c r="K19" s="60"/>
      <c r="L19" s="60"/>
      <c r="M19" s="490"/>
      <c r="N19" s="488"/>
      <c r="O19" s="489"/>
      <c r="P19" s="489"/>
      <c r="Q19" s="490"/>
      <c r="R19" s="490"/>
      <c r="S19" s="490"/>
      <c r="T19" s="490"/>
      <c r="U19" s="531"/>
      <c r="V19" s="489"/>
      <c r="W19" s="532"/>
      <c r="Y19" s="533"/>
      <c r="AE19" s="535" t="s">
        <v>123</v>
      </c>
      <c r="AF19" s="535">
        <f>AF18+$AG$19</f>
        <v>28554</v>
      </c>
      <c r="AG19" s="534">
        <f>ROUND((AF22-AF18)/4,0)</f>
        <v>-1099</v>
      </c>
    </row>
    <row r="20" spans="2:33" s="487" customFormat="1" ht="17.100000000000001" customHeight="1">
      <c r="B20" s="85"/>
      <c r="C20" s="1"/>
      <c r="D20" s="1"/>
      <c r="O20" s="732" t="s">
        <v>259</v>
      </c>
      <c r="P20" s="732"/>
      <c r="Q20" s="733" t="s">
        <v>276</v>
      </c>
      <c r="R20" s="734"/>
      <c r="S20" s="732" t="s">
        <v>451</v>
      </c>
      <c r="T20" s="732"/>
      <c r="U20" s="735" t="s">
        <v>452</v>
      </c>
      <c r="V20" s="736"/>
      <c r="W20" s="735" t="s">
        <v>453</v>
      </c>
      <c r="X20" s="736"/>
      <c r="Y20" s="735" t="s">
        <v>454</v>
      </c>
      <c r="Z20" s="736"/>
      <c r="AE20" s="535" t="s">
        <v>333</v>
      </c>
      <c r="AF20" s="535">
        <f>AF19+$AG$19</f>
        <v>27455</v>
      </c>
      <c r="AG20" s="535"/>
    </row>
    <row r="21" spans="2:33" s="487" customFormat="1" ht="17.100000000000001" customHeight="1">
      <c r="B21" s="85"/>
      <c r="C21" s="1"/>
      <c r="D21" s="1"/>
      <c r="E21" s="189"/>
      <c r="O21" s="732" t="s">
        <v>266</v>
      </c>
      <c r="P21" s="732"/>
      <c r="Q21" s="737" t="s">
        <v>277</v>
      </c>
      <c r="R21" s="738"/>
      <c r="S21" s="739">
        <f>ROUNDDOWN(Q9+T14*5,0)</f>
        <v>31519</v>
      </c>
      <c r="T21" s="739"/>
      <c r="U21" s="728">
        <f>ROUNDDOWN(Q9+T14*10,0)</f>
        <v>34258</v>
      </c>
      <c r="V21" s="729"/>
      <c r="W21" s="728">
        <f>ROUNDDOWN(Q9+T14*15,0)</f>
        <v>36996</v>
      </c>
      <c r="X21" s="729"/>
      <c r="Y21" s="728">
        <f>ROUNDDOWN(Q9+T14*20,0)</f>
        <v>39735</v>
      </c>
      <c r="Z21" s="729"/>
      <c r="AD21" s="286"/>
      <c r="AE21" s="535" t="s">
        <v>334</v>
      </c>
      <c r="AF21" s="535">
        <f>AF20+$AG$19</f>
        <v>26356</v>
      </c>
      <c r="AG21" s="535"/>
    </row>
    <row r="22" spans="2:33" s="487" customFormat="1" ht="17.100000000000001" customHeight="1">
      <c r="B22" s="85"/>
      <c r="C22" s="1"/>
      <c r="D22" s="1"/>
      <c r="E22" s="189"/>
      <c r="F22" s="189"/>
      <c r="G22" s="189"/>
      <c r="H22" s="189"/>
      <c r="I22" s="189"/>
      <c r="J22" s="189"/>
      <c r="K22" s="189"/>
      <c r="L22" s="189"/>
      <c r="M22" s="33"/>
      <c r="O22" s="732" t="s">
        <v>268</v>
      </c>
      <c r="P22" s="732"/>
      <c r="Q22" s="737" t="s">
        <v>554</v>
      </c>
      <c r="R22" s="738"/>
      <c r="S22" s="739">
        <f>ROUNDDOWN(Q9*POWER(1+T15,5),0)</f>
        <v>32442</v>
      </c>
      <c r="T22" s="739"/>
      <c r="U22" s="728">
        <f>ROUNDDOWN(Q9*POWER(1+T15,10),0)</f>
        <v>36569</v>
      </c>
      <c r="V22" s="729"/>
      <c r="W22" s="728">
        <f>ROUNDDOWN(Q9*POWER(1+T15,15),0)</f>
        <v>41222</v>
      </c>
      <c r="X22" s="729"/>
      <c r="Y22" s="728">
        <f>ROUNDDOWN(Q9*POWER(1+T15,20),0)</f>
        <v>46466</v>
      </c>
      <c r="Z22" s="729"/>
      <c r="AC22" s="33"/>
      <c r="AD22" s="230"/>
      <c r="AE22" s="516" t="s">
        <v>549</v>
      </c>
      <c r="AF22" s="539">
        <v>25257</v>
      </c>
      <c r="AG22" s="487">
        <f>AF21+AG19</f>
        <v>25257</v>
      </c>
    </row>
    <row r="23" spans="2:33" s="487" customFormat="1" ht="17.100000000000001" customHeight="1">
      <c r="B23" s="85"/>
      <c r="C23" s="1"/>
      <c r="D23" s="1"/>
      <c r="E23" s="189"/>
      <c r="F23" s="189"/>
      <c r="G23" s="189"/>
      <c r="H23" s="189"/>
      <c r="I23" s="189"/>
      <c r="J23" s="189"/>
      <c r="K23" s="189"/>
      <c r="L23" s="189"/>
      <c r="M23" s="59"/>
      <c r="O23" s="732" t="s">
        <v>279</v>
      </c>
      <c r="P23" s="732"/>
      <c r="Q23" s="737" t="s">
        <v>280</v>
      </c>
      <c r="R23" s="738"/>
      <c r="S23" s="739">
        <f>ROUNDDOWN(U16*15+V16,0)</f>
        <v>31829</v>
      </c>
      <c r="T23" s="739"/>
      <c r="U23" s="728">
        <f>ROUNDDOWN(U16*20+V16,0)</f>
        <v>33839</v>
      </c>
      <c r="V23" s="729"/>
      <c r="W23" s="728">
        <f>ROUNDDOWN(U16*25+V16,0)</f>
        <v>35849</v>
      </c>
      <c r="X23" s="729"/>
      <c r="Y23" s="728">
        <f>ROUNDDOWN(U16*20+V16,0)</f>
        <v>33839</v>
      </c>
      <c r="Z23" s="729"/>
      <c r="AC23" s="59"/>
      <c r="AD23" s="230"/>
      <c r="AE23" s="536" t="s">
        <v>336</v>
      </c>
      <c r="AF23" s="535">
        <f>AF22+AG23</f>
        <v>25874</v>
      </c>
      <c r="AG23" s="534">
        <f>ROUND((AF24-AF22)/2,0)</f>
        <v>617</v>
      </c>
    </row>
    <row r="24" spans="2:33" s="487" customFormat="1" ht="17.100000000000001" customHeight="1">
      <c r="B24" s="85"/>
      <c r="C24" s="1"/>
      <c r="D24" s="1"/>
      <c r="E24" s="189"/>
      <c r="F24" s="189"/>
      <c r="G24" s="189"/>
      <c r="H24" s="189"/>
      <c r="I24" s="189"/>
      <c r="J24" s="189"/>
      <c r="K24" s="189"/>
      <c r="L24" s="189"/>
      <c r="M24" s="59"/>
      <c r="O24" s="732" t="s">
        <v>281</v>
      </c>
      <c r="P24" s="732"/>
      <c r="Q24" s="737" t="s">
        <v>555</v>
      </c>
      <c r="R24" s="738"/>
      <c r="S24" s="739">
        <f>ROUNDDOWN(U17*S10+V17*15+W17,0)</f>
        <v>34412</v>
      </c>
      <c r="T24" s="739"/>
      <c r="U24" s="728">
        <f>ROUNDDOWN(U17*S10+V17*20+W17,0)</f>
        <v>36425</v>
      </c>
      <c r="V24" s="729"/>
      <c r="W24" s="728">
        <f>ROUNDDOWN(U17*S10+V17*25+W17,0)</f>
        <v>38437</v>
      </c>
      <c r="X24" s="729"/>
      <c r="Y24" s="728">
        <f>ROUNDDOWN(U17*S10+V17*20+W17,0)</f>
        <v>36425</v>
      </c>
      <c r="Z24" s="729"/>
      <c r="AC24" s="59"/>
      <c r="AD24" s="230"/>
      <c r="AE24" s="516" t="s">
        <v>495</v>
      </c>
      <c r="AF24" s="538">
        <v>26491</v>
      </c>
      <c r="AG24" s="487">
        <f>AF23+AG23</f>
        <v>26491</v>
      </c>
    </row>
    <row r="25" spans="2:33" s="487" customFormat="1" ht="17.100000000000001" customHeight="1">
      <c r="B25" s="85"/>
      <c r="C25" s="1"/>
      <c r="D25" s="1"/>
      <c r="E25" s="189"/>
      <c r="F25" s="189"/>
      <c r="G25" s="189"/>
      <c r="H25" s="189"/>
      <c r="I25" s="189"/>
      <c r="J25" s="189"/>
      <c r="K25" s="189"/>
      <c r="L25" s="189"/>
      <c r="M25" s="59"/>
      <c r="O25" s="732" t="s">
        <v>274</v>
      </c>
      <c r="P25" s="732"/>
      <c r="Q25" s="737" t="s">
        <v>556</v>
      </c>
      <c r="R25" s="738"/>
      <c r="S25" s="739">
        <f>ROUNDDOWN(U18*POWER(V18,15),0)</f>
        <v>33224</v>
      </c>
      <c r="T25" s="739"/>
      <c r="U25" s="728">
        <f>ROUNDDOWN(U18*POWER(V18,20),0)</f>
        <v>36325</v>
      </c>
      <c r="V25" s="729"/>
      <c r="W25" s="728">
        <f>ROUNDDOWN(U18*POWER(V18,25),0)</f>
        <v>39717</v>
      </c>
      <c r="X25" s="729"/>
      <c r="Y25" s="728">
        <f>ROUNDDOWN(U18*POWER(V18,20),0)</f>
        <v>36325</v>
      </c>
      <c r="Z25" s="729"/>
      <c r="AC25" s="59"/>
      <c r="AD25" s="230"/>
      <c r="AE25" s="536" t="s">
        <v>496</v>
      </c>
      <c r="AF25" s="535">
        <f>AF24+AG25</f>
        <v>27636</v>
      </c>
      <c r="AG25" s="534">
        <f>ROUND((AF26-AF24)/2,0)</f>
        <v>1145</v>
      </c>
    </row>
    <row r="26" spans="2:33" s="487" customFormat="1" ht="12">
      <c r="B26" s="85"/>
      <c r="C26" s="1"/>
      <c r="D26" s="1"/>
      <c r="E26" s="189"/>
      <c r="F26" s="189"/>
      <c r="G26" s="189"/>
      <c r="H26" s="189"/>
      <c r="I26" s="189"/>
      <c r="J26" s="189"/>
      <c r="K26" s="189"/>
      <c r="L26" s="189"/>
      <c r="M26" s="59"/>
      <c r="O26" s="490"/>
      <c r="P26" s="490"/>
      <c r="Q26" s="488" t="s">
        <v>544</v>
      </c>
      <c r="R26" s="489"/>
      <c r="S26" s="489"/>
      <c r="T26" s="490"/>
      <c r="U26" s="490"/>
      <c r="V26" s="490"/>
      <c r="W26" s="490"/>
      <c r="X26" s="531"/>
      <c r="Y26" s="489"/>
      <c r="Z26" s="532"/>
      <c r="AC26" s="59"/>
      <c r="AE26" s="516" t="s">
        <v>497</v>
      </c>
      <c r="AF26" s="538">
        <v>28781</v>
      </c>
      <c r="AG26" s="487">
        <f>AF25+AG25</f>
        <v>28781</v>
      </c>
    </row>
    <row r="27" spans="2:33" s="487" customFormat="1" ht="12">
      <c r="B27" s="85"/>
      <c r="C27" s="1"/>
      <c r="D27" s="1"/>
      <c r="E27" s="189"/>
      <c r="F27" s="189"/>
      <c r="G27" s="189"/>
      <c r="H27" s="189"/>
      <c r="I27" s="189"/>
      <c r="J27" s="189"/>
      <c r="K27" s="189"/>
      <c r="L27" s="189"/>
      <c r="M27" s="533"/>
      <c r="O27" s="490"/>
      <c r="P27" s="490"/>
      <c r="Q27" s="488" t="s">
        <v>380</v>
      </c>
      <c r="R27" s="489"/>
      <c r="S27" s="489"/>
      <c r="T27" s="490"/>
      <c r="U27" s="490"/>
      <c r="V27" s="490"/>
      <c r="W27" s="490"/>
      <c r="X27" s="531"/>
      <c r="Y27" s="489"/>
      <c r="Z27" s="532"/>
      <c r="AC27" s="533"/>
    </row>
    <row r="28" spans="2:33" s="487" customFormat="1" ht="12">
      <c r="B28" s="85"/>
      <c r="C28" s="1"/>
      <c r="D28" s="1"/>
      <c r="E28" s="189"/>
      <c r="F28" s="189"/>
      <c r="G28" s="189"/>
      <c r="H28" s="189"/>
      <c r="I28" s="189"/>
      <c r="J28" s="189"/>
      <c r="K28" s="189"/>
      <c r="L28" s="189"/>
      <c r="O28" s="490"/>
      <c r="P28" s="490"/>
      <c r="Q28" s="488" t="s">
        <v>443</v>
      </c>
      <c r="R28" s="489"/>
      <c r="S28" s="489"/>
      <c r="T28" s="490"/>
      <c r="U28" s="490"/>
      <c r="V28" s="490"/>
      <c r="W28" s="490"/>
      <c r="X28" s="531"/>
      <c r="Y28" s="489"/>
      <c r="Z28" s="532"/>
    </row>
  </sheetData>
  <mergeCells count="40">
    <mergeCell ref="Y25:Z25"/>
    <mergeCell ref="O24:P24"/>
    <mergeCell ref="Q24:R24"/>
    <mergeCell ref="S24:T24"/>
    <mergeCell ref="U24:V24"/>
    <mergeCell ref="W24:X24"/>
    <mergeCell ref="Y24:Z24"/>
    <mergeCell ref="O25:P25"/>
    <mergeCell ref="Q25:R25"/>
    <mergeCell ref="S25:T25"/>
    <mergeCell ref="U25:V25"/>
    <mergeCell ref="W25:X25"/>
    <mergeCell ref="Y23:Z23"/>
    <mergeCell ref="O22:P22"/>
    <mergeCell ref="Q22:R22"/>
    <mergeCell ref="S22:T22"/>
    <mergeCell ref="U22:V22"/>
    <mergeCell ref="W22:X22"/>
    <mergeCell ref="Y22:Z22"/>
    <mergeCell ref="O23:P23"/>
    <mergeCell ref="Q23:R23"/>
    <mergeCell ref="S23:T23"/>
    <mergeCell ref="U23:V23"/>
    <mergeCell ref="W23:X23"/>
    <mergeCell ref="B3:D4"/>
    <mergeCell ref="Y21:Z21"/>
    <mergeCell ref="B5:D5"/>
    <mergeCell ref="B6:C6"/>
    <mergeCell ref="X13:Y13"/>
    <mergeCell ref="O20:P20"/>
    <mergeCell ref="Q20:R20"/>
    <mergeCell ref="S20:T20"/>
    <mergeCell ref="U20:V20"/>
    <mergeCell ref="W20:X20"/>
    <mergeCell ref="Y20:Z20"/>
    <mergeCell ref="O21:P21"/>
    <mergeCell ref="Q21:R21"/>
    <mergeCell ref="S21:T21"/>
    <mergeCell ref="U21:V21"/>
    <mergeCell ref="W21:X21"/>
  </mergeCells>
  <phoneticPr fontId="3"/>
  <pageMargins left="0.59055118110236227" right="0.59055118110236227" top="1.3779527559055118" bottom="0.78740157480314965" header="0.98425196850393704" footer="0.51181102362204722"/>
  <pageSetup paperSize="9" orientation="landscape" horizontalDpi="400" verticalDpi="400" r:id="rId1"/>
  <headerFooter alignWithMargins="0">
    <oddHeader>&amp;L&amp;"HGｺﾞｼｯｸM,ﾒﾃﾞｨｳﾑ"&amp;16産業中分類別商業販売額&amp;R&amp;"HGｺﾞｼｯｸM,ﾒﾃﾞｨｳﾑ"
高森町　②産業　C0202-3産業中分類別商業販売額</oddHeader>
    <oddFooter>&amp;R&amp;"HGｺﾞｼｯｸM,ﾒﾃﾞｨｳﾑ"C0202-3産業中分類別商業販売額　&amp;P+3/5</oddFooter>
  </headerFooter>
</worksheet>
</file>

<file path=xl/worksheets/sheet2.xml><?xml version="1.0" encoding="utf-8"?>
<worksheet xmlns="http://schemas.openxmlformats.org/spreadsheetml/2006/main" xmlns:r="http://schemas.openxmlformats.org/officeDocument/2006/relationships">
  <dimension ref="B1:W86"/>
  <sheetViews>
    <sheetView showGridLines="0" zoomScaleNormal="100" zoomScaleSheetLayoutView="100" workbookViewId="0">
      <selection activeCell="G33" sqref="G33"/>
    </sheetView>
  </sheetViews>
  <sheetFormatPr defaultColWidth="8.875" defaultRowHeight="18" customHeight="1"/>
  <cols>
    <col min="1" max="1" width="1.75" style="1" customWidth="1"/>
    <col min="2" max="2" width="38.75" style="183" customWidth="1"/>
    <col min="3" max="3" width="5.625" style="183" customWidth="1"/>
    <col min="4" max="4" width="6.625" style="183" customWidth="1"/>
    <col min="5" max="5" width="4.625" style="1" customWidth="1"/>
    <col min="6" max="6" width="6.625" style="1" customWidth="1"/>
    <col min="7" max="7" width="5.625" style="1" customWidth="1"/>
    <col min="8" max="8" width="6.625" style="1" customWidth="1"/>
    <col min="9" max="9" width="4.625" style="1" customWidth="1"/>
    <col min="10" max="10" width="6.625" style="1" customWidth="1"/>
    <col min="11" max="11" width="5.625" style="183" customWidth="1"/>
    <col min="12" max="12" width="6.625" style="183" customWidth="1"/>
    <col min="13" max="13" width="4.625" style="1" customWidth="1"/>
    <col min="14" max="14" width="6.625" style="1" customWidth="1"/>
    <col min="15" max="15" width="5.625" style="1" customWidth="1"/>
    <col min="16" max="16" width="6.625" style="1" customWidth="1"/>
    <col min="17" max="17" width="4.625" style="1" customWidth="1"/>
    <col min="18" max="18" width="6.625" style="1" customWidth="1"/>
    <col min="19" max="20" width="1.75" style="1" customWidth="1"/>
    <col min="21" max="22" width="9.375" style="1" customWidth="1"/>
    <col min="23" max="23" width="10.75" style="1" customWidth="1"/>
    <col min="24" max="24" width="1.75" style="1" customWidth="1"/>
    <col min="25" max="16384" width="8.875" style="1"/>
  </cols>
  <sheetData>
    <row r="1" spans="2:23" ht="4.5" customHeight="1"/>
    <row r="2" spans="2:23" ht="15.75" customHeight="1">
      <c r="B2" s="664" t="s">
        <v>8</v>
      </c>
      <c r="C2" s="250" t="s">
        <v>566</v>
      </c>
      <c r="D2" s="5"/>
      <c r="E2" s="5"/>
      <c r="F2" s="5"/>
      <c r="G2" s="5"/>
      <c r="H2" s="5"/>
      <c r="I2" s="5"/>
      <c r="J2" s="88"/>
      <c r="K2" s="250" t="s">
        <v>438</v>
      </c>
      <c r="L2" s="5"/>
      <c r="M2" s="5"/>
      <c r="N2" s="5"/>
      <c r="O2" s="5"/>
      <c r="P2" s="5"/>
      <c r="Q2" s="5"/>
      <c r="R2" s="88"/>
    </row>
    <row r="3" spans="2:23" ht="15.75" customHeight="1">
      <c r="B3" s="668"/>
      <c r="C3" s="655" t="s">
        <v>353</v>
      </c>
      <c r="D3" s="656"/>
      <c r="E3" s="656"/>
      <c r="F3" s="657"/>
      <c r="G3" s="658" t="s">
        <v>352</v>
      </c>
      <c r="H3" s="656"/>
      <c r="I3" s="656"/>
      <c r="J3" s="659"/>
      <c r="K3" s="655" t="s">
        <v>353</v>
      </c>
      <c r="L3" s="656"/>
      <c r="M3" s="656"/>
      <c r="N3" s="657"/>
      <c r="O3" s="658" t="s">
        <v>352</v>
      </c>
      <c r="P3" s="656"/>
      <c r="Q3" s="656"/>
      <c r="R3" s="659"/>
    </row>
    <row r="4" spans="2:23" ht="15.75" customHeight="1">
      <c r="B4" s="668"/>
      <c r="C4" s="660" t="s">
        <v>174</v>
      </c>
      <c r="D4" s="661"/>
      <c r="E4" s="662" t="s">
        <v>175</v>
      </c>
      <c r="F4" s="661"/>
      <c r="G4" s="662" t="s">
        <v>174</v>
      </c>
      <c r="H4" s="661"/>
      <c r="I4" s="662" t="s">
        <v>175</v>
      </c>
      <c r="J4" s="663"/>
      <c r="K4" s="660" t="s">
        <v>174</v>
      </c>
      <c r="L4" s="661"/>
      <c r="M4" s="662" t="s">
        <v>175</v>
      </c>
      <c r="N4" s="661"/>
      <c r="O4" s="662" t="s">
        <v>174</v>
      </c>
      <c r="P4" s="661"/>
      <c r="Q4" s="662" t="s">
        <v>175</v>
      </c>
      <c r="R4" s="663"/>
    </row>
    <row r="5" spans="2:23" ht="15.75" customHeight="1">
      <c r="B5" s="669"/>
      <c r="C5" s="16"/>
      <c r="D5" s="387" t="s">
        <v>179</v>
      </c>
      <c r="E5" s="393"/>
      <c r="F5" s="387" t="s">
        <v>180</v>
      </c>
      <c r="G5" s="393"/>
      <c r="H5" s="387" t="s">
        <v>179</v>
      </c>
      <c r="I5" s="393"/>
      <c r="J5" s="388" t="s">
        <v>180</v>
      </c>
      <c r="K5" s="16"/>
      <c r="L5" s="387" t="s">
        <v>179</v>
      </c>
      <c r="M5" s="393"/>
      <c r="N5" s="387" t="s">
        <v>180</v>
      </c>
      <c r="O5" s="393"/>
      <c r="P5" s="387" t="s">
        <v>179</v>
      </c>
      <c r="Q5" s="393"/>
      <c r="R5" s="388" t="s">
        <v>180</v>
      </c>
      <c r="U5" s="246"/>
      <c r="V5" s="246"/>
      <c r="W5" s="246"/>
    </row>
    <row r="6" spans="2:23" s="33" customFormat="1" ht="15.75" customHeight="1">
      <c r="B6" s="237" t="s">
        <v>238</v>
      </c>
      <c r="C6" s="389"/>
      <c r="D6" s="424">
        <v>1257</v>
      </c>
      <c r="E6" s="358"/>
      <c r="F6" s="394">
        <f>D6/$D$29*100</f>
        <v>17.656974294142437</v>
      </c>
      <c r="G6" s="391"/>
      <c r="H6" s="428">
        <v>1250</v>
      </c>
      <c r="I6" s="358"/>
      <c r="J6" s="399">
        <f>H6/$H$29*100</f>
        <v>20.931011386470193</v>
      </c>
      <c r="K6" s="389"/>
      <c r="L6" s="424">
        <v>1212</v>
      </c>
      <c r="M6" s="358"/>
      <c r="N6" s="394">
        <f>L6/$L$29*100</f>
        <v>17.225696418419556</v>
      </c>
      <c r="O6" s="391"/>
      <c r="P6" s="428">
        <v>1161</v>
      </c>
      <c r="Q6" s="358"/>
      <c r="R6" s="399">
        <f>P6/$P$29*100</f>
        <v>19.295329898620576</v>
      </c>
    </row>
    <row r="7" spans="2:23" s="33" customFormat="1" ht="15.75" customHeight="1">
      <c r="B7" s="237" t="s">
        <v>219</v>
      </c>
      <c r="C7" s="34"/>
      <c r="D7" s="425" t="s">
        <v>125</v>
      </c>
      <c r="E7" s="359"/>
      <c r="F7" s="395" t="s">
        <v>133</v>
      </c>
      <c r="G7" s="121"/>
      <c r="H7" s="429" t="s">
        <v>133</v>
      </c>
      <c r="I7" s="359"/>
      <c r="J7" s="400" t="s">
        <v>133</v>
      </c>
      <c r="K7" s="34"/>
      <c r="L7" s="425" t="s">
        <v>125</v>
      </c>
      <c r="M7" s="359"/>
      <c r="N7" s="425" t="s">
        <v>125</v>
      </c>
      <c r="O7" s="121"/>
      <c r="P7" s="429" t="s">
        <v>439</v>
      </c>
      <c r="Q7" s="359"/>
      <c r="R7" s="449" t="s">
        <v>439</v>
      </c>
      <c r="U7" s="246"/>
      <c r="V7" s="246"/>
      <c r="W7" s="246"/>
    </row>
    <row r="8" spans="2:23" s="33" customFormat="1" ht="15.75" customHeight="1">
      <c r="B8" s="238" t="s">
        <v>171</v>
      </c>
      <c r="C8" s="34"/>
      <c r="D8" s="425">
        <f>SUM(D6:D7)</f>
        <v>1257</v>
      </c>
      <c r="E8" s="359"/>
      <c r="F8" s="396">
        <f>D8/$D$29*100</f>
        <v>17.656974294142437</v>
      </c>
      <c r="G8" s="121"/>
      <c r="H8" s="430">
        <f>SUM(H6:H7)</f>
        <v>1250</v>
      </c>
      <c r="I8" s="359"/>
      <c r="J8" s="401">
        <f t="shared" ref="J8:J28" si="0">H8/$H$29*100</f>
        <v>20.931011386470193</v>
      </c>
      <c r="K8" s="34"/>
      <c r="L8" s="430">
        <f>SUM(L6:L7)</f>
        <v>1212</v>
      </c>
      <c r="M8" s="359"/>
      <c r="N8" s="396">
        <f t="shared" ref="N8:N28" si="1">L8/$L$29*100</f>
        <v>17.225696418419556</v>
      </c>
      <c r="O8" s="121"/>
      <c r="P8" s="430">
        <f>SUM(P6:P7)</f>
        <v>1161</v>
      </c>
      <c r="Q8" s="359"/>
      <c r="R8" s="401">
        <f t="shared" ref="R8:R28" si="2">P8/$P$29*100</f>
        <v>19.295329898620576</v>
      </c>
    </row>
    <row r="9" spans="2:23" s="246" customFormat="1" ht="15.75" customHeight="1">
      <c r="B9" s="237" t="s">
        <v>228</v>
      </c>
      <c r="C9" s="248"/>
      <c r="D9" s="426">
        <v>5</v>
      </c>
      <c r="E9" s="390"/>
      <c r="F9" s="397">
        <f>D9/$D$29*100</f>
        <v>7.0234583508919798E-2</v>
      </c>
      <c r="G9" s="392"/>
      <c r="H9" s="426">
        <v>3</v>
      </c>
      <c r="I9" s="390"/>
      <c r="J9" s="402">
        <f>H9/$H$29*100</f>
        <v>5.0234427327528461E-2</v>
      </c>
      <c r="K9" s="248"/>
      <c r="L9" s="426">
        <v>3</v>
      </c>
      <c r="M9" s="390"/>
      <c r="N9" s="448">
        <f t="shared" si="1"/>
        <v>4.2637862421830583E-2</v>
      </c>
      <c r="O9" s="392"/>
      <c r="P9" s="426">
        <v>1</v>
      </c>
      <c r="Q9" s="390"/>
      <c r="R9" s="447">
        <f t="shared" si="2"/>
        <v>1.6619577862722286E-2</v>
      </c>
    </row>
    <row r="10" spans="2:23" s="246" customFormat="1" ht="15.75" customHeight="1">
      <c r="B10" s="237" t="s">
        <v>220</v>
      </c>
      <c r="C10" s="248"/>
      <c r="D10" s="426">
        <v>560</v>
      </c>
      <c r="E10" s="390"/>
      <c r="F10" s="396">
        <f>D10/$D$29*100</f>
        <v>7.8662733529990163</v>
      </c>
      <c r="G10" s="392"/>
      <c r="H10" s="430">
        <v>479</v>
      </c>
      <c r="I10" s="390"/>
      <c r="J10" s="401">
        <f t="shared" si="0"/>
        <v>8.0207635632953789</v>
      </c>
      <c r="K10" s="248"/>
      <c r="L10" s="426">
        <v>509</v>
      </c>
      <c r="M10" s="390"/>
      <c r="N10" s="396">
        <f t="shared" si="1"/>
        <v>7.2342239909039225</v>
      </c>
      <c r="O10" s="392"/>
      <c r="P10" s="430">
        <v>421</v>
      </c>
      <c r="Q10" s="390"/>
      <c r="R10" s="401">
        <f t="shared" si="2"/>
        <v>6.9968422802060823</v>
      </c>
    </row>
    <row r="11" spans="2:23" s="246" customFormat="1" ht="15.75" customHeight="1">
      <c r="B11" s="237" t="s">
        <v>221</v>
      </c>
      <c r="C11" s="248"/>
      <c r="D11" s="426">
        <v>1573</v>
      </c>
      <c r="E11" s="390"/>
      <c r="F11" s="396">
        <f>D11/$D$29*100</f>
        <v>22.095799971906168</v>
      </c>
      <c r="G11" s="392"/>
      <c r="H11" s="430">
        <v>1313</v>
      </c>
      <c r="I11" s="390"/>
      <c r="J11" s="401">
        <f t="shared" si="0"/>
        <v>21.985934360348292</v>
      </c>
      <c r="K11" s="248"/>
      <c r="L11" s="426">
        <v>1582</v>
      </c>
      <c r="M11" s="390"/>
      <c r="N11" s="396">
        <f t="shared" si="1"/>
        <v>22.484366117111996</v>
      </c>
      <c r="O11" s="392"/>
      <c r="P11" s="426">
        <v>1407</v>
      </c>
      <c r="Q11" s="390"/>
      <c r="R11" s="401">
        <f t="shared" si="2"/>
        <v>23.383746052850256</v>
      </c>
    </row>
    <row r="12" spans="2:23" s="246" customFormat="1" ht="15.75" customHeight="1">
      <c r="B12" s="238" t="s">
        <v>172</v>
      </c>
      <c r="C12" s="248"/>
      <c r="D12" s="426">
        <f>SUM(D9:D11)</f>
        <v>2138</v>
      </c>
      <c r="E12" s="390"/>
      <c r="F12" s="396">
        <f t="shared" ref="F12:F28" si="3">D12/$D$29*100</f>
        <v>30.032307908414101</v>
      </c>
      <c r="G12" s="392"/>
      <c r="H12" s="430">
        <f>SUM(H9:H11)</f>
        <v>1795</v>
      </c>
      <c r="I12" s="390"/>
      <c r="J12" s="401">
        <f t="shared" si="0"/>
        <v>30.056932350971199</v>
      </c>
      <c r="K12" s="248"/>
      <c r="L12" s="430">
        <f>SUM(L9:L11)</f>
        <v>2094</v>
      </c>
      <c r="M12" s="390"/>
      <c r="N12" s="396">
        <f t="shared" si="1"/>
        <v>29.761227970437748</v>
      </c>
      <c r="O12" s="392"/>
      <c r="P12" s="430">
        <f>SUM(P9:P11)</f>
        <v>1829</v>
      </c>
      <c r="Q12" s="390"/>
      <c r="R12" s="401">
        <f t="shared" si="2"/>
        <v>30.397207910919061</v>
      </c>
    </row>
    <row r="13" spans="2:23" s="246" customFormat="1" ht="15.75" customHeight="1">
      <c r="B13" s="237" t="s">
        <v>222</v>
      </c>
      <c r="C13" s="248"/>
      <c r="D13" s="426">
        <v>43</v>
      </c>
      <c r="E13" s="390"/>
      <c r="F13" s="396">
        <f t="shared" si="3"/>
        <v>0.60401741817671017</v>
      </c>
      <c r="G13" s="392"/>
      <c r="H13" s="430">
        <v>9</v>
      </c>
      <c r="I13" s="390"/>
      <c r="J13" s="401">
        <f t="shared" si="0"/>
        <v>0.1507032819825854</v>
      </c>
      <c r="K13" s="248"/>
      <c r="L13" s="426">
        <v>48</v>
      </c>
      <c r="M13" s="390"/>
      <c r="N13" s="396">
        <f t="shared" si="1"/>
        <v>0.68220579874928933</v>
      </c>
      <c r="O13" s="392"/>
      <c r="P13" s="430">
        <v>17</v>
      </c>
      <c r="Q13" s="390"/>
      <c r="R13" s="401">
        <f t="shared" si="2"/>
        <v>0.28253282366627891</v>
      </c>
    </row>
    <row r="14" spans="2:23" s="246" customFormat="1" ht="15.75" customHeight="1">
      <c r="B14" s="237" t="s">
        <v>223</v>
      </c>
      <c r="C14" s="248"/>
      <c r="D14" s="426">
        <v>44</v>
      </c>
      <c r="E14" s="390"/>
      <c r="F14" s="396">
        <f t="shared" si="3"/>
        <v>0.6180643348784941</v>
      </c>
      <c r="G14" s="392"/>
      <c r="H14" s="430">
        <v>8</v>
      </c>
      <c r="I14" s="390"/>
      <c r="J14" s="401">
        <f t="shared" si="0"/>
        <v>0.13395847287340923</v>
      </c>
      <c r="K14" s="248"/>
      <c r="L14" s="426">
        <v>38</v>
      </c>
      <c r="M14" s="390"/>
      <c r="N14" s="396">
        <f t="shared" si="1"/>
        <v>0.54007959067652067</v>
      </c>
      <c r="O14" s="392"/>
      <c r="P14" s="430">
        <v>9</v>
      </c>
      <c r="Q14" s="390"/>
      <c r="R14" s="401">
        <f t="shared" si="2"/>
        <v>0.14957620076450059</v>
      </c>
    </row>
    <row r="15" spans="2:23" s="246" customFormat="1" ht="15.75" customHeight="1">
      <c r="B15" s="237" t="s">
        <v>229</v>
      </c>
      <c r="C15" s="248"/>
      <c r="D15" s="426">
        <v>236</v>
      </c>
      <c r="E15" s="390"/>
      <c r="F15" s="396">
        <f t="shared" si="3"/>
        <v>3.3150723416210144</v>
      </c>
      <c r="G15" s="392"/>
      <c r="H15" s="430">
        <v>229</v>
      </c>
      <c r="I15" s="390"/>
      <c r="J15" s="401">
        <f t="shared" si="0"/>
        <v>3.8345612860013394</v>
      </c>
      <c r="K15" s="248"/>
      <c r="L15" s="426">
        <v>207</v>
      </c>
      <c r="M15" s="390"/>
      <c r="N15" s="396">
        <f t="shared" si="1"/>
        <v>2.9420125071063103</v>
      </c>
      <c r="O15" s="392"/>
      <c r="P15" s="430">
        <v>235</v>
      </c>
      <c r="Q15" s="390"/>
      <c r="R15" s="401">
        <f t="shared" si="2"/>
        <v>3.9056007977397376</v>
      </c>
    </row>
    <row r="16" spans="2:23" s="246" customFormat="1" ht="15.75" customHeight="1">
      <c r="B16" s="237" t="s">
        <v>230</v>
      </c>
      <c r="C16" s="248"/>
      <c r="D16" s="426">
        <v>975</v>
      </c>
      <c r="E16" s="390"/>
      <c r="F16" s="396">
        <f t="shared" si="3"/>
        <v>13.695743784239358</v>
      </c>
      <c r="G16" s="392"/>
      <c r="H16" s="430">
        <v>877</v>
      </c>
      <c r="I16" s="390"/>
      <c r="J16" s="401">
        <f t="shared" si="0"/>
        <v>14.685197588747489</v>
      </c>
      <c r="K16" s="248"/>
      <c r="L16" s="426">
        <v>922</v>
      </c>
      <c r="M16" s="390"/>
      <c r="N16" s="396">
        <f t="shared" si="1"/>
        <v>13.104036384309268</v>
      </c>
      <c r="O16" s="392"/>
      <c r="P16" s="430">
        <v>853</v>
      </c>
      <c r="Q16" s="390"/>
      <c r="R16" s="401">
        <f t="shared" si="2"/>
        <v>14.176499916902111</v>
      </c>
    </row>
    <row r="17" spans="2:23" s="246" customFormat="1" ht="15.75" customHeight="1">
      <c r="B17" s="237" t="s">
        <v>231</v>
      </c>
      <c r="C17" s="248"/>
      <c r="D17" s="426">
        <v>107</v>
      </c>
      <c r="E17" s="390"/>
      <c r="F17" s="396">
        <f t="shared" si="3"/>
        <v>1.5030200870908834</v>
      </c>
      <c r="G17" s="392"/>
      <c r="H17" s="430">
        <v>69</v>
      </c>
      <c r="I17" s="390"/>
      <c r="J17" s="401">
        <f t="shared" si="0"/>
        <v>1.1553918285331546</v>
      </c>
      <c r="K17" s="248"/>
      <c r="L17" s="426">
        <v>99</v>
      </c>
      <c r="M17" s="390"/>
      <c r="N17" s="396">
        <f t="shared" si="1"/>
        <v>1.4070494599204093</v>
      </c>
      <c r="O17" s="392"/>
      <c r="P17" s="430">
        <v>67</v>
      </c>
      <c r="Q17" s="390"/>
      <c r="R17" s="401">
        <f t="shared" si="2"/>
        <v>1.1135117168023931</v>
      </c>
    </row>
    <row r="18" spans="2:23" s="246" customFormat="1" ht="15.75" customHeight="1">
      <c r="B18" s="237" t="s">
        <v>232</v>
      </c>
      <c r="C18" s="248"/>
      <c r="D18" s="426">
        <v>33</v>
      </c>
      <c r="E18" s="390"/>
      <c r="F18" s="396">
        <f t="shared" si="3"/>
        <v>0.46354825115887061</v>
      </c>
      <c r="G18" s="392"/>
      <c r="H18" s="430">
        <v>12</v>
      </c>
      <c r="I18" s="390"/>
      <c r="J18" s="401">
        <f t="shared" si="0"/>
        <v>0.20093770931011384</v>
      </c>
      <c r="K18" s="248"/>
      <c r="L18" s="426">
        <v>40</v>
      </c>
      <c r="M18" s="390"/>
      <c r="N18" s="396">
        <f t="shared" si="1"/>
        <v>0.56850483229107451</v>
      </c>
      <c r="O18" s="392"/>
      <c r="P18" s="430">
        <v>19</v>
      </c>
      <c r="Q18" s="390"/>
      <c r="R18" s="401">
        <f t="shared" si="2"/>
        <v>0.31577197939172347</v>
      </c>
    </row>
    <row r="19" spans="2:23" s="246" customFormat="1" ht="15.75" customHeight="1">
      <c r="B19" s="237" t="s">
        <v>233</v>
      </c>
      <c r="C19" s="248"/>
      <c r="D19" s="426">
        <v>160</v>
      </c>
      <c r="E19" s="390"/>
      <c r="F19" s="396">
        <f t="shared" si="3"/>
        <v>2.2475066722854335</v>
      </c>
      <c r="G19" s="392"/>
      <c r="H19" s="430">
        <v>93</v>
      </c>
      <c r="I19" s="390"/>
      <c r="J19" s="401">
        <f t="shared" si="0"/>
        <v>1.5572672471533826</v>
      </c>
      <c r="K19" s="248"/>
      <c r="L19" s="426">
        <v>163</v>
      </c>
      <c r="M19" s="390"/>
      <c r="N19" s="396">
        <f t="shared" si="1"/>
        <v>2.3166571915861285</v>
      </c>
      <c r="O19" s="392"/>
      <c r="P19" s="430">
        <v>94</v>
      </c>
      <c r="Q19" s="390"/>
      <c r="R19" s="401">
        <f t="shared" si="2"/>
        <v>1.5622403190958951</v>
      </c>
    </row>
    <row r="20" spans="2:23" s="246" customFormat="1" ht="15.75" customHeight="1">
      <c r="B20" s="237" t="s">
        <v>234</v>
      </c>
      <c r="C20" s="248"/>
      <c r="D20" s="426">
        <v>262</v>
      </c>
      <c r="E20" s="390"/>
      <c r="F20" s="396">
        <f t="shared" si="3"/>
        <v>3.6802921758673972</v>
      </c>
      <c r="G20" s="392"/>
      <c r="H20" s="430">
        <v>210</v>
      </c>
      <c r="I20" s="390"/>
      <c r="J20" s="401">
        <f t="shared" si="0"/>
        <v>3.5164099129269926</v>
      </c>
      <c r="K20" s="248"/>
      <c r="L20" s="426">
        <v>264</v>
      </c>
      <c r="M20" s="390"/>
      <c r="N20" s="396">
        <f t="shared" si="1"/>
        <v>3.7521318931210912</v>
      </c>
      <c r="O20" s="392"/>
      <c r="P20" s="430">
        <v>205</v>
      </c>
      <c r="Q20" s="390"/>
      <c r="R20" s="401">
        <f t="shared" si="2"/>
        <v>3.4070134618580687</v>
      </c>
    </row>
    <row r="21" spans="2:23" s="246" customFormat="1" ht="15.75" customHeight="1">
      <c r="B21" s="237" t="s">
        <v>235</v>
      </c>
      <c r="C21" s="248"/>
      <c r="D21" s="426">
        <v>206</v>
      </c>
      <c r="E21" s="390"/>
      <c r="F21" s="396">
        <f t="shared" si="3"/>
        <v>2.8936648405674954</v>
      </c>
      <c r="G21" s="392"/>
      <c r="H21" s="430">
        <v>205</v>
      </c>
      <c r="I21" s="390"/>
      <c r="J21" s="401">
        <f t="shared" si="0"/>
        <v>3.432685867381112</v>
      </c>
      <c r="K21" s="248"/>
      <c r="L21" s="426">
        <v>181</v>
      </c>
      <c r="M21" s="390"/>
      <c r="N21" s="396">
        <f t="shared" si="1"/>
        <v>2.572484366117112</v>
      </c>
      <c r="O21" s="392"/>
      <c r="P21" s="430">
        <v>181</v>
      </c>
      <c r="Q21" s="390"/>
      <c r="R21" s="401">
        <f t="shared" si="2"/>
        <v>3.0081435931527336</v>
      </c>
    </row>
    <row r="22" spans="2:23" s="246" customFormat="1" ht="15.75" customHeight="1">
      <c r="B22" s="237" t="s">
        <v>236</v>
      </c>
      <c r="C22" s="248"/>
      <c r="D22" s="426">
        <v>297</v>
      </c>
      <c r="E22" s="390"/>
      <c r="F22" s="396">
        <f t="shared" si="3"/>
        <v>4.1719342604298353</v>
      </c>
      <c r="G22" s="392"/>
      <c r="H22" s="430">
        <v>162</v>
      </c>
      <c r="I22" s="390"/>
      <c r="J22" s="401">
        <f t="shared" si="0"/>
        <v>2.712659075686537</v>
      </c>
      <c r="K22" s="248"/>
      <c r="L22" s="426">
        <v>275</v>
      </c>
      <c r="M22" s="390"/>
      <c r="N22" s="396">
        <f t="shared" si="1"/>
        <v>3.9084707220011374</v>
      </c>
      <c r="O22" s="392"/>
      <c r="P22" s="430">
        <v>164</v>
      </c>
      <c r="Q22" s="390"/>
      <c r="R22" s="401">
        <f t="shared" si="2"/>
        <v>2.7256107694864551</v>
      </c>
    </row>
    <row r="23" spans="2:23" s="179" customFormat="1" ht="15.75" customHeight="1">
      <c r="B23" s="237" t="s">
        <v>237</v>
      </c>
      <c r="C23" s="248"/>
      <c r="D23" s="426">
        <v>813</v>
      </c>
      <c r="E23" s="390"/>
      <c r="F23" s="396">
        <f t="shared" si="3"/>
        <v>11.420143278550359</v>
      </c>
      <c r="G23" s="392"/>
      <c r="H23" s="430">
        <v>650</v>
      </c>
      <c r="I23" s="390"/>
      <c r="J23" s="401">
        <f t="shared" si="0"/>
        <v>10.8841259209645</v>
      </c>
      <c r="K23" s="248"/>
      <c r="L23" s="426">
        <v>897</v>
      </c>
      <c r="M23" s="390"/>
      <c r="N23" s="396">
        <f t="shared" si="1"/>
        <v>12.748720864127344</v>
      </c>
      <c r="O23" s="392"/>
      <c r="P23" s="430">
        <v>748</v>
      </c>
      <c r="Q23" s="390"/>
      <c r="R23" s="401">
        <f t="shared" si="2"/>
        <v>12.431444241316271</v>
      </c>
      <c r="U23" s="246"/>
      <c r="V23" s="246"/>
    </row>
    <row r="24" spans="2:23" s="179" customFormat="1" ht="15.75" customHeight="1">
      <c r="B24" s="237" t="s">
        <v>224</v>
      </c>
      <c r="C24" s="248"/>
      <c r="D24" s="426">
        <v>101</v>
      </c>
      <c r="E24" s="390"/>
      <c r="F24" s="396">
        <f t="shared" si="3"/>
        <v>1.4187385868801798</v>
      </c>
      <c r="G24" s="392"/>
      <c r="H24" s="430">
        <v>79</v>
      </c>
      <c r="I24" s="390"/>
      <c r="J24" s="401">
        <f t="shared" si="0"/>
        <v>1.3228399196249163</v>
      </c>
      <c r="K24" s="248"/>
      <c r="L24" s="426">
        <v>118</v>
      </c>
      <c r="M24" s="390"/>
      <c r="N24" s="396">
        <f t="shared" si="1"/>
        <v>1.6770892552586698</v>
      </c>
      <c r="O24" s="392"/>
      <c r="P24" s="430">
        <v>86</v>
      </c>
      <c r="Q24" s="390"/>
      <c r="R24" s="401">
        <f t="shared" si="2"/>
        <v>1.4292836961941167</v>
      </c>
    </row>
    <row r="25" spans="2:23" s="179" customFormat="1" ht="15.75" customHeight="1">
      <c r="B25" s="237" t="s">
        <v>225</v>
      </c>
      <c r="C25" s="248"/>
      <c r="D25" s="426">
        <v>226</v>
      </c>
      <c r="E25" s="390"/>
      <c r="F25" s="396">
        <f t="shared" si="3"/>
        <v>3.1746031746031744</v>
      </c>
      <c r="G25" s="392"/>
      <c r="H25" s="430">
        <v>155</v>
      </c>
      <c r="I25" s="390"/>
      <c r="J25" s="401">
        <f t="shared" si="0"/>
        <v>2.595445411922304</v>
      </c>
      <c r="K25" s="248"/>
      <c r="L25" s="426">
        <v>217</v>
      </c>
      <c r="M25" s="390"/>
      <c r="N25" s="396">
        <f t="shared" si="1"/>
        <v>3.0841387151790789</v>
      </c>
      <c r="O25" s="392"/>
      <c r="P25" s="430">
        <v>162</v>
      </c>
      <c r="Q25" s="390"/>
      <c r="R25" s="401">
        <f t="shared" si="2"/>
        <v>2.6923716137610105</v>
      </c>
    </row>
    <row r="26" spans="2:23" s="179" customFormat="1" ht="15.75" customHeight="1">
      <c r="B26" s="237" t="s">
        <v>226</v>
      </c>
      <c r="C26" s="248"/>
      <c r="D26" s="426">
        <v>197</v>
      </c>
      <c r="E26" s="390"/>
      <c r="F26" s="396">
        <f t="shared" si="3"/>
        <v>2.7672425902514397</v>
      </c>
      <c r="G26" s="392"/>
      <c r="H26" s="430">
        <v>140</v>
      </c>
      <c r="I26" s="390"/>
      <c r="J26" s="401">
        <f t="shared" si="0"/>
        <v>2.344273275284662</v>
      </c>
      <c r="K26" s="248"/>
      <c r="L26" s="426">
        <v>215</v>
      </c>
      <c r="M26" s="390"/>
      <c r="N26" s="396">
        <f t="shared" si="1"/>
        <v>3.0557134735645253</v>
      </c>
      <c r="O26" s="392"/>
      <c r="P26" s="430">
        <v>145</v>
      </c>
      <c r="Q26" s="390"/>
      <c r="R26" s="401">
        <f t="shared" si="2"/>
        <v>2.4098387900947316</v>
      </c>
    </row>
    <row r="27" spans="2:23" s="179" customFormat="1" ht="15.75" customHeight="1">
      <c r="B27" s="239" t="s">
        <v>173</v>
      </c>
      <c r="C27" s="248"/>
      <c r="D27" s="426">
        <f>SUM(D13:D26)</f>
        <v>3700</v>
      </c>
      <c r="E27" s="390"/>
      <c r="F27" s="396">
        <f t="shared" si="3"/>
        <v>51.973591796600651</v>
      </c>
      <c r="G27" s="392"/>
      <c r="H27" s="430">
        <f>SUM(H13:H26)</f>
        <v>2898</v>
      </c>
      <c r="I27" s="390"/>
      <c r="J27" s="401">
        <f t="shared" si="0"/>
        <v>48.526456798392495</v>
      </c>
      <c r="K27" s="248"/>
      <c r="L27" s="430">
        <f>SUM(L13:L26)</f>
        <v>3684</v>
      </c>
      <c r="M27" s="390"/>
      <c r="N27" s="396">
        <f t="shared" si="1"/>
        <v>52.359295054007958</v>
      </c>
      <c r="O27" s="392"/>
      <c r="P27" s="430">
        <f>SUM(P13:P26)</f>
        <v>2985</v>
      </c>
      <c r="Q27" s="390"/>
      <c r="R27" s="401">
        <f t="shared" si="2"/>
        <v>49.609439920226031</v>
      </c>
    </row>
    <row r="28" spans="2:23" ht="15.75" customHeight="1">
      <c r="B28" s="237" t="s">
        <v>227</v>
      </c>
      <c r="C28" s="34"/>
      <c r="D28" s="426">
        <v>24</v>
      </c>
      <c r="E28" s="359"/>
      <c r="F28" s="396">
        <f t="shared" si="3"/>
        <v>0.33712600084281502</v>
      </c>
      <c r="G28" s="121"/>
      <c r="H28" s="430">
        <v>29</v>
      </c>
      <c r="I28" s="359"/>
      <c r="J28" s="401">
        <f t="shared" si="0"/>
        <v>0.4855994641661085</v>
      </c>
      <c r="K28" s="34"/>
      <c r="L28" s="426">
        <v>46</v>
      </c>
      <c r="M28" s="359"/>
      <c r="N28" s="396">
        <f t="shared" si="1"/>
        <v>0.6537805571347356</v>
      </c>
      <c r="O28" s="121"/>
      <c r="P28" s="430">
        <v>42</v>
      </c>
      <c r="Q28" s="359"/>
      <c r="R28" s="401">
        <f t="shared" si="2"/>
        <v>0.69802227023433605</v>
      </c>
      <c r="U28" s="179"/>
      <c r="V28" s="179"/>
      <c r="W28" s="179"/>
    </row>
    <row r="29" spans="2:23" ht="15.75" customHeight="1">
      <c r="B29" s="381" t="s">
        <v>192</v>
      </c>
      <c r="C29" s="365"/>
      <c r="D29" s="427">
        <f>D8+D12+D27+D28</f>
        <v>7119</v>
      </c>
      <c r="E29" s="360"/>
      <c r="F29" s="398">
        <f>F8+F12+F27+F28</f>
        <v>100.00000000000001</v>
      </c>
      <c r="G29" s="129"/>
      <c r="H29" s="427">
        <f>H8+H12+H27+H28</f>
        <v>5972</v>
      </c>
      <c r="I29" s="360"/>
      <c r="J29" s="403">
        <f>J8+J12+J27+J28</f>
        <v>100</v>
      </c>
      <c r="K29" s="365"/>
      <c r="L29" s="427">
        <f>L8+L12+L27+L28</f>
        <v>7036</v>
      </c>
      <c r="M29" s="360"/>
      <c r="N29" s="398">
        <f>N8+N12+N27+N28</f>
        <v>100</v>
      </c>
      <c r="O29" s="129"/>
      <c r="P29" s="427">
        <f>P8+P12+P27+P28</f>
        <v>6017</v>
      </c>
      <c r="Q29" s="360"/>
      <c r="R29" s="403">
        <f>R8+R12+R27+R28</f>
        <v>100</v>
      </c>
      <c r="U29" s="33"/>
      <c r="V29" s="33"/>
      <c r="W29" s="33"/>
    </row>
    <row r="30" spans="2:23" ht="15" customHeight="1">
      <c r="B30" s="438" t="s">
        <v>413</v>
      </c>
      <c r="C30" s="1"/>
      <c r="D30" s="95"/>
      <c r="J30" s="95"/>
      <c r="K30" s="1"/>
      <c r="L30" s="95"/>
      <c r="R30" s="95" t="s">
        <v>193</v>
      </c>
    </row>
    <row r="31" spans="2:23" ht="15" customHeight="1">
      <c r="B31" s="33"/>
      <c r="C31" s="33"/>
      <c r="D31" s="33"/>
      <c r="K31" s="33"/>
      <c r="L31" s="33"/>
    </row>
    <row r="32" spans="2:23" ht="15.75" customHeight="1">
      <c r="B32" s="33"/>
      <c r="C32" s="33"/>
      <c r="D32" s="33"/>
      <c r="K32" s="33"/>
      <c r="L32" s="33"/>
    </row>
    <row r="33" spans="2:15" ht="15.75" customHeight="1">
      <c r="B33" s="33"/>
      <c r="C33" s="33"/>
      <c r="D33" s="33"/>
      <c r="K33" s="33"/>
      <c r="L33" s="33"/>
    </row>
    <row r="34" spans="2:15" ht="15.75" customHeight="1">
      <c r="B34" s="33"/>
      <c r="C34" s="33"/>
      <c r="D34" s="33"/>
      <c r="E34" s="33"/>
      <c r="F34" s="33"/>
      <c r="G34" s="33"/>
      <c r="K34" s="33"/>
      <c r="L34" s="33"/>
      <c r="M34" s="33"/>
      <c r="N34" s="33"/>
      <c r="O34" s="33"/>
    </row>
    <row r="35" spans="2:15" s="33" customFormat="1" ht="16.5" customHeight="1"/>
    <row r="36" spans="2:15" s="33" customFormat="1" ht="16.5" customHeight="1"/>
    <row r="37" spans="2:15" s="33" customFormat="1" ht="16.5" customHeight="1"/>
    <row r="38" spans="2:15" s="33" customFormat="1" ht="16.5" customHeight="1"/>
    <row r="39" spans="2:15" s="33" customFormat="1" ht="16.5" customHeight="1"/>
    <row r="40" spans="2:15" s="33" customFormat="1" ht="16.5" customHeight="1"/>
    <row r="41" spans="2:15" s="33" customFormat="1" ht="16.5" customHeight="1"/>
    <row r="42" spans="2:15" s="33" customFormat="1" ht="16.5" customHeight="1"/>
    <row r="43" spans="2:15" s="33" customFormat="1" ht="16.5" customHeight="1"/>
    <row r="44" spans="2:15" s="33" customFormat="1" ht="16.5" customHeight="1"/>
    <row r="45" spans="2:15" s="33" customFormat="1" ht="16.5" customHeight="1"/>
    <row r="46" spans="2:15" s="33" customFormat="1" ht="16.5" customHeight="1">
      <c r="E46" s="1"/>
      <c r="F46" s="1"/>
      <c r="G46" s="1"/>
      <c r="M46" s="1"/>
      <c r="N46" s="1"/>
      <c r="O46" s="1"/>
    </row>
    <row r="47" spans="2:15" ht="16.5" customHeight="1">
      <c r="B47" s="33"/>
      <c r="C47" s="33"/>
      <c r="D47" s="33"/>
      <c r="K47" s="33"/>
      <c r="L47" s="33"/>
    </row>
    <row r="48" spans="2:15" ht="16.5" customHeight="1">
      <c r="B48" s="1"/>
      <c r="C48" s="1"/>
      <c r="D48" s="1"/>
      <c r="K48" s="1"/>
      <c r="L48" s="1"/>
    </row>
    <row r="49" spans="2:22" ht="16.5" customHeight="1">
      <c r="B49" s="1"/>
      <c r="C49" s="1"/>
      <c r="D49" s="1"/>
      <c r="K49" s="1"/>
      <c r="L49" s="1"/>
    </row>
    <row r="50" spans="2:22" ht="16.5" customHeight="1">
      <c r="B50" s="1"/>
      <c r="C50" s="1"/>
      <c r="D50" s="1"/>
      <c r="K50" s="1"/>
      <c r="L50" s="1"/>
    </row>
    <row r="51" spans="2:22" ht="16.5" customHeight="1">
      <c r="B51" s="1"/>
      <c r="C51" s="1"/>
      <c r="D51" s="1"/>
      <c r="K51" s="1"/>
      <c r="L51" s="1"/>
    </row>
    <row r="52" spans="2:22" ht="16.5" customHeight="1">
      <c r="B52" s="1"/>
      <c r="C52" s="1"/>
      <c r="D52" s="1"/>
      <c r="K52" s="1"/>
      <c r="L52" s="1"/>
    </row>
    <row r="53" spans="2:22" ht="16.5" customHeight="1">
      <c r="B53" s="1"/>
      <c r="C53" s="1"/>
      <c r="D53" s="1"/>
      <c r="K53" s="1"/>
      <c r="L53" s="1"/>
    </row>
    <row r="54" spans="2:22" ht="16.5" customHeight="1">
      <c r="B54" s="1"/>
      <c r="C54" s="1"/>
      <c r="D54" s="1"/>
      <c r="K54" s="1"/>
      <c r="L54" s="1"/>
    </row>
    <row r="55" spans="2:22" ht="16.5" customHeight="1">
      <c r="B55" s="1"/>
      <c r="C55" s="1"/>
      <c r="D55" s="1"/>
      <c r="K55" s="1"/>
      <c r="L55" s="1"/>
    </row>
    <row r="56" spans="2:22" ht="18.75" customHeight="1"/>
    <row r="57" spans="2:22" ht="15" customHeight="1">
      <c r="B57" s="1"/>
      <c r="C57" s="1"/>
      <c r="D57" s="1"/>
      <c r="K57" s="1"/>
      <c r="L57" s="1"/>
    </row>
    <row r="58" spans="2:22" ht="15" customHeight="1">
      <c r="E58" s="33"/>
      <c r="M58" s="33"/>
    </row>
    <row r="59" spans="2:22" ht="15" customHeight="1">
      <c r="E59" s="33"/>
      <c r="F59" s="33"/>
      <c r="G59" s="33"/>
      <c r="H59" s="33"/>
      <c r="I59" s="33"/>
      <c r="J59" s="33"/>
      <c r="M59" s="33"/>
      <c r="N59" s="33"/>
      <c r="O59" s="33"/>
      <c r="P59" s="33"/>
      <c r="Q59" s="33"/>
      <c r="R59" s="33"/>
      <c r="U59" s="33"/>
      <c r="V59" s="33"/>
    </row>
    <row r="60" spans="2:22" s="33" customFormat="1" ht="17.25" customHeight="1">
      <c r="B60" s="183"/>
      <c r="C60" s="183"/>
      <c r="D60" s="183"/>
      <c r="K60" s="183"/>
      <c r="L60" s="183"/>
    </row>
    <row r="61" spans="2:22" s="33" customFormat="1" ht="17.25" customHeight="1">
      <c r="B61" s="183"/>
      <c r="C61" s="183"/>
      <c r="D61" s="183"/>
      <c r="K61" s="183"/>
      <c r="L61" s="183"/>
    </row>
    <row r="62" spans="2:22" s="33" customFormat="1" ht="17.25" customHeight="1">
      <c r="B62" s="183"/>
      <c r="C62" s="183"/>
      <c r="D62" s="183"/>
      <c r="K62" s="183"/>
      <c r="L62" s="183"/>
    </row>
    <row r="63" spans="2:22" s="33" customFormat="1" ht="17.25" customHeight="1">
      <c r="B63" s="183"/>
      <c r="C63" s="183"/>
      <c r="D63" s="183"/>
      <c r="K63" s="183"/>
      <c r="L63" s="183"/>
    </row>
    <row r="64" spans="2:22" s="33" customFormat="1" ht="17.25" customHeight="1">
      <c r="B64" s="183"/>
      <c r="C64" s="183"/>
      <c r="D64" s="183"/>
      <c r="K64" s="183"/>
      <c r="L64" s="183"/>
    </row>
    <row r="65" spans="2:22" s="33" customFormat="1" ht="17.25" customHeight="1">
      <c r="B65" s="183"/>
      <c r="C65" s="183"/>
      <c r="D65" s="183"/>
      <c r="K65" s="183"/>
      <c r="L65" s="183"/>
    </row>
    <row r="66" spans="2:22" s="33" customFormat="1" ht="17.25" customHeight="1">
      <c r="B66" s="183"/>
      <c r="C66" s="183"/>
      <c r="D66" s="183"/>
      <c r="K66" s="183"/>
      <c r="L66" s="183"/>
    </row>
    <row r="67" spans="2:22" s="33" customFormat="1" ht="17.25" customHeight="1">
      <c r="B67" s="183"/>
      <c r="C67" s="183"/>
      <c r="D67" s="183"/>
      <c r="K67" s="183"/>
      <c r="L67" s="183"/>
    </row>
    <row r="68" spans="2:22" s="33" customFormat="1" ht="17.25" customHeight="1">
      <c r="B68" s="183"/>
      <c r="C68" s="183"/>
      <c r="D68" s="183"/>
      <c r="K68" s="183"/>
      <c r="L68" s="183"/>
    </row>
    <row r="69" spans="2:22" s="33" customFormat="1" ht="17.25" customHeight="1">
      <c r="B69" s="183"/>
      <c r="C69" s="183"/>
      <c r="D69" s="183"/>
      <c r="K69" s="183"/>
      <c r="L69" s="183"/>
    </row>
    <row r="70" spans="2:22" s="33" customFormat="1" ht="17.25" customHeight="1">
      <c r="B70" s="183"/>
      <c r="C70" s="183"/>
      <c r="D70" s="183"/>
      <c r="K70" s="183"/>
      <c r="L70" s="183"/>
    </row>
    <row r="71" spans="2:22" s="33" customFormat="1" ht="17.25" customHeight="1">
      <c r="B71" s="183"/>
      <c r="C71" s="183"/>
      <c r="D71" s="183"/>
      <c r="K71" s="183"/>
      <c r="L71" s="183"/>
    </row>
    <row r="72" spans="2:22" s="33" customFormat="1" ht="17.25" customHeight="1">
      <c r="B72" s="183"/>
      <c r="C72" s="183"/>
      <c r="D72" s="183"/>
      <c r="K72" s="183"/>
      <c r="L72" s="183"/>
    </row>
    <row r="73" spans="2:22" s="33" customFormat="1" ht="17.25" customHeight="1">
      <c r="B73" s="183"/>
      <c r="C73" s="183"/>
      <c r="D73" s="183"/>
      <c r="K73" s="183"/>
      <c r="L73" s="183"/>
    </row>
    <row r="74" spans="2:22" s="33" customFormat="1" ht="17.25" customHeight="1">
      <c r="B74" s="183"/>
      <c r="C74" s="183"/>
      <c r="D74" s="183"/>
      <c r="K74" s="183"/>
      <c r="L74" s="183"/>
    </row>
    <row r="75" spans="2:22" s="33" customFormat="1" ht="17.25" customHeight="1">
      <c r="B75" s="183"/>
      <c r="C75" s="183"/>
      <c r="D75" s="183"/>
      <c r="E75" s="1"/>
      <c r="K75" s="183"/>
      <c r="L75" s="183"/>
      <c r="M75" s="1"/>
    </row>
    <row r="76" spans="2:22" s="33" customFormat="1" ht="17.25" customHeight="1">
      <c r="B76" s="183"/>
      <c r="C76" s="183"/>
      <c r="D76" s="183"/>
      <c r="E76" s="1"/>
      <c r="F76" s="1"/>
      <c r="G76" s="1"/>
      <c r="H76" s="1"/>
      <c r="I76" s="1"/>
      <c r="J76" s="1"/>
      <c r="K76" s="183"/>
      <c r="L76" s="183"/>
      <c r="M76" s="1"/>
      <c r="N76" s="1"/>
      <c r="O76" s="1"/>
      <c r="P76" s="1"/>
      <c r="Q76" s="1"/>
      <c r="R76" s="1"/>
      <c r="U76" s="1"/>
      <c r="V76" s="1"/>
    </row>
    <row r="77" spans="2:22" ht="17.25" customHeight="1"/>
    <row r="78" spans="2:22" ht="17.25" customHeight="1"/>
    <row r="79" spans="2:22" ht="17.25" customHeight="1"/>
    <row r="80" spans="2:22" ht="17.25" customHeight="1"/>
    <row r="81" ht="17.25" customHeight="1"/>
    <row r="82" ht="17.25" customHeight="1"/>
    <row r="83" ht="17.25" customHeight="1"/>
    <row r="84" ht="17.25" customHeight="1"/>
    <row r="85" ht="4.5" customHeight="1"/>
    <row r="86" ht="20.100000000000001" customHeight="1"/>
  </sheetData>
  <mergeCells count="13">
    <mergeCell ref="I4:J4"/>
    <mergeCell ref="B2:B5"/>
    <mergeCell ref="C3:F3"/>
    <mergeCell ref="G3:J3"/>
    <mergeCell ref="C4:D4"/>
    <mergeCell ref="E4:F4"/>
    <mergeCell ref="G4:H4"/>
    <mergeCell ref="K3:N3"/>
    <mergeCell ref="O3:R3"/>
    <mergeCell ref="K4:L4"/>
    <mergeCell ref="M4:N4"/>
    <mergeCell ref="O4:P4"/>
    <mergeCell ref="Q4:R4"/>
  </mergeCells>
  <phoneticPr fontId="3"/>
  <pageMargins left="0.59055118110236227" right="0.59055118110236227" top="1.3779527559055118" bottom="0.78740157480314965" header="0.98425196850393704" footer="0.51181102362204722"/>
  <pageSetup paperSize="9" orientation="landscape" horizontalDpi="400" verticalDpi="400" r:id="rId1"/>
  <headerFooter alignWithMargins="0">
    <oddHeader>&amp;L&amp;"HGｺﾞｼｯｸM,ﾒﾃﾞｨｳﾑ"&amp;16産業大分類別就業者数&amp;R&amp;"HGｺﾞｼｯｸM,ﾒﾃﾞｨｳﾑ"
高森町　②産業　C0201-1産業大分類別就業者数</oddHeader>
    <oddFooter>&amp;R&amp;"HGｺﾞｼｯｸM,ﾒﾃﾞｨｳﾑ"C0201-1産業大分類別就業者数　&amp;P+2/7</oddFooter>
  </headerFooter>
  <drawing r:id="rId2"/>
</worksheet>
</file>

<file path=xl/worksheets/sheet3.xml><?xml version="1.0" encoding="utf-8"?>
<worksheet xmlns="http://schemas.openxmlformats.org/spreadsheetml/2006/main" xmlns:r="http://schemas.openxmlformats.org/officeDocument/2006/relationships">
  <dimension ref="B1:M29"/>
  <sheetViews>
    <sheetView showGridLines="0" topLeftCell="B1" zoomScaleNormal="100" workbookViewId="0">
      <selection activeCell="H16" sqref="H16"/>
    </sheetView>
  </sheetViews>
  <sheetFormatPr defaultColWidth="8.875" defaultRowHeight="18" customHeight="1"/>
  <cols>
    <col min="1" max="1" width="1.75" style="1" customWidth="1"/>
    <col min="2" max="2" width="3.75" style="85" customWidth="1"/>
    <col min="3" max="3" width="17.625" style="1" customWidth="1"/>
    <col min="4" max="4" width="13.625" style="1" customWidth="1"/>
    <col min="5" max="5" width="10.75" style="1" customWidth="1"/>
    <col min="6" max="13" width="10.75" style="189" customWidth="1"/>
    <col min="14" max="15" width="1.75" style="1" customWidth="1"/>
    <col min="16" max="16384" width="8.875" style="1"/>
  </cols>
  <sheetData>
    <row r="1" spans="2:13" ht="4.5" customHeight="1">
      <c r="B1" s="183"/>
      <c r="C1" s="183"/>
      <c r="D1" s="183"/>
      <c r="E1" s="183"/>
      <c r="F1" s="183"/>
      <c r="G1" s="183"/>
      <c r="H1" s="183"/>
      <c r="I1" s="183"/>
      <c r="J1" s="183"/>
      <c r="K1" s="183"/>
      <c r="L1" s="183"/>
      <c r="M1" s="183"/>
    </row>
    <row r="2" spans="2:13" ht="17.25" customHeight="1">
      <c r="B2" s="241" t="s">
        <v>239</v>
      </c>
      <c r="C2" s="183"/>
      <c r="D2" s="183"/>
      <c r="E2" s="183"/>
      <c r="F2" s="183"/>
      <c r="G2" s="183"/>
      <c r="H2" s="183"/>
      <c r="I2" s="183"/>
      <c r="J2" s="183"/>
      <c r="K2" s="183"/>
      <c r="L2" s="183"/>
      <c r="M2" s="190" t="s">
        <v>194</v>
      </c>
    </row>
    <row r="3" spans="2:13" ht="14.45" customHeight="1">
      <c r="B3" s="182"/>
      <c r="C3" s="670" t="s">
        <v>196</v>
      </c>
      <c r="D3" s="3"/>
      <c r="E3" s="191" t="s">
        <v>70</v>
      </c>
      <c r="F3" s="191" t="s">
        <v>176</v>
      </c>
      <c r="G3" s="191" t="s">
        <v>177</v>
      </c>
      <c r="H3" s="191" t="s">
        <v>178</v>
      </c>
      <c r="I3" s="192" t="s">
        <v>195</v>
      </c>
      <c r="J3" s="191" t="s">
        <v>444</v>
      </c>
      <c r="K3" s="191" t="s">
        <v>445</v>
      </c>
      <c r="L3" s="290" t="s">
        <v>446</v>
      </c>
      <c r="M3" s="193" t="s">
        <v>447</v>
      </c>
    </row>
    <row r="4" spans="2:13" ht="14.45" customHeight="1">
      <c r="B4" s="22"/>
      <c r="C4" s="671"/>
      <c r="D4" s="17"/>
      <c r="E4" s="194"/>
      <c r="F4" s="194"/>
      <c r="G4" s="194"/>
      <c r="H4" s="195"/>
      <c r="I4" s="195" t="s">
        <v>448</v>
      </c>
      <c r="J4" s="195"/>
      <c r="K4" s="195" t="s">
        <v>449</v>
      </c>
      <c r="L4" s="291"/>
      <c r="M4" s="196" t="s">
        <v>450</v>
      </c>
    </row>
    <row r="5" spans="2:13" s="33" customFormat="1" ht="14.45" customHeight="1">
      <c r="B5" s="184"/>
      <c r="C5" s="33" t="s">
        <v>197</v>
      </c>
      <c r="D5" s="25"/>
      <c r="E5" s="197">
        <v>1840</v>
      </c>
      <c r="F5" s="197">
        <v>1691</v>
      </c>
      <c r="G5" s="197">
        <v>1575</v>
      </c>
      <c r="H5" s="451">
        <v>1257</v>
      </c>
      <c r="I5" s="198">
        <v>1212</v>
      </c>
      <c r="J5" s="199"/>
      <c r="K5" s="200"/>
      <c r="L5" s="292"/>
      <c r="M5" s="201"/>
    </row>
    <row r="6" spans="2:13" ht="14.45" customHeight="1">
      <c r="B6" s="202"/>
      <c r="C6" s="203" t="s">
        <v>198</v>
      </c>
      <c r="D6" s="204" t="s">
        <v>199</v>
      </c>
      <c r="E6" s="205"/>
      <c r="F6" s="205"/>
      <c r="G6" s="205"/>
      <c r="H6" s="452"/>
      <c r="I6" s="205"/>
      <c r="J6" s="208">
        <f>'C0201-1産業推計計算式'!F20</f>
        <v>1055</v>
      </c>
      <c r="K6" s="208">
        <f>'C0201-1産業推計計算式'!H20</f>
        <v>898</v>
      </c>
      <c r="L6" s="208">
        <f>'C0201-1産業推計計算式'!J20</f>
        <v>741</v>
      </c>
      <c r="M6" s="445">
        <f>'C0201-1産業推計計算式'!L20</f>
        <v>584</v>
      </c>
    </row>
    <row r="7" spans="2:13" ht="14.45" customHeight="1">
      <c r="B7" s="206"/>
      <c r="C7" s="67"/>
      <c r="D7" s="35" t="s">
        <v>200</v>
      </c>
      <c r="E7" s="207"/>
      <c r="F7" s="207"/>
      <c r="G7" s="207"/>
      <c r="H7" s="453"/>
      <c r="I7" s="207"/>
      <c r="J7" s="208">
        <f>'C0201-1産業推計計算式'!F21</f>
        <v>1091</v>
      </c>
      <c r="K7" s="209">
        <f>'C0201-1産業推計計算式'!H21</f>
        <v>983</v>
      </c>
      <c r="L7" s="209">
        <f>'C0201-1産業推計計算式'!J21</f>
        <v>886</v>
      </c>
      <c r="M7" s="210">
        <f>'C0201-1産業推計計算式'!L21</f>
        <v>798</v>
      </c>
    </row>
    <row r="8" spans="2:13" ht="14.45" customHeight="1">
      <c r="B8" s="206"/>
      <c r="C8" s="67"/>
      <c r="D8" s="35" t="s">
        <v>201</v>
      </c>
      <c r="E8" s="207"/>
      <c r="F8" s="207"/>
      <c r="G8" s="207"/>
      <c r="H8" s="453"/>
      <c r="I8" s="207"/>
      <c r="J8" s="208">
        <f>'C0201-1産業推計計算式'!F22</f>
        <v>1020</v>
      </c>
      <c r="K8" s="209">
        <f>'C0201-1産業推計計算式'!H22</f>
        <v>855</v>
      </c>
      <c r="L8" s="209">
        <f>'C0201-1産業推計計算式'!J22</f>
        <v>690</v>
      </c>
      <c r="M8" s="210">
        <f>'C0201-1産業推計計算式'!L22</f>
        <v>525</v>
      </c>
    </row>
    <row r="9" spans="2:13" ht="14.45" customHeight="1">
      <c r="B9" s="206"/>
      <c r="C9" s="67"/>
      <c r="D9" s="35" t="s">
        <v>202</v>
      </c>
      <c r="E9" s="207"/>
      <c r="F9" s="207"/>
      <c r="G9" s="207"/>
      <c r="H9" s="453"/>
      <c r="I9" s="207"/>
      <c r="J9" s="208">
        <f>'C0201-1産業推計計算式'!F23</f>
        <v>1015</v>
      </c>
      <c r="K9" s="209">
        <f>'C0201-1産業推計計算式'!H23</f>
        <v>846</v>
      </c>
      <c r="L9" s="209">
        <f>'C0201-1産業推計計算式'!J23</f>
        <v>677</v>
      </c>
      <c r="M9" s="210">
        <f>'C0201-1産業推計計算式'!L23</f>
        <v>508</v>
      </c>
    </row>
    <row r="10" spans="2:13" ht="14.45" customHeight="1">
      <c r="B10" s="211"/>
      <c r="C10" s="69"/>
      <c r="D10" s="212" t="s">
        <v>284</v>
      </c>
      <c r="E10" s="213"/>
      <c r="F10" s="213"/>
      <c r="G10" s="213"/>
      <c r="H10" s="454"/>
      <c r="I10" s="213"/>
      <c r="J10" s="214">
        <f>'C0201-1産業推計計算式'!F24</f>
        <v>1063</v>
      </c>
      <c r="K10" s="215">
        <f>'C0201-1産業推計計算式'!H24</f>
        <v>950</v>
      </c>
      <c r="L10" s="215">
        <f>'C0201-1産業推計計算式'!J24</f>
        <v>848</v>
      </c>
      <c r="M10" s="216">
        <f>'C0201-1産業推計計算式'!L24</f>
        <v>757</v>
      </c>
    </row>
    <row r="11" spans="2:13" ht="9.9499999999999993" customHeight="1">
      <c r="E11" s="189"/>
    </row>
    <row r="12" spans="2:13" ht="14.45" customHeight="1">
      <c r="B12" s="182"/>
      <c r="C12" s="670" t="s">
        <v>204</v>
      </c>
      <c r="D12" s="3"/>
      <c r="E12" s="191" t="s">
        <v>70</v>
      </c>
      <c r="F12" s="191" t="s">
        <v>176</v>
      </c>
      <c r="G12" s="191" t="s">
        <v>177</v>
      </c>
      <c r="H12" s="191" t="s">
        <v>178</v>
      </c>
      <c r="I12" s="192" t="s">
        <v>195</v>
      </c>
      <c r="J12" s="191" t="s">
        <v>444</v>
      </c>
      <c r="K12" s="191" t="s">
        <v>445</v>
      </c>
      <c r="L12" s="290" t="s">
        <v>446</v>
      </c>
      <c r="M12" s="193" t="s">
        <v>447</v>
      </c>
    </row>
    <row r="13" spans="2:13" ht="14.45" customHeight="1">
      <c r="B13" s="22"/>
      <c r="C13" s="671"/>
      <c r="D13" s="17"/>
      <c r="E13" s="194"/>
      <c r="F13" s="194"/>
      <c r="G13" s="194"/>
      <c r="H13" s="195"/>
      <c r="I13" s="195" t="s">
        <v>448</v>
      </c>
      <c r="J13" s="195"/>
      <c r="K13" s="195" t="s">
        <v>449</v>
      </c>
      <c r="L13" s="291"/>
      <c r="M13" s="196" t="s">
        <v>450</v>
      </c>
    </row>
    <row r="14" spans="2:13" s="33" customFormat="1" ht="14.45" customHeight="1">
      <c r="B14" s="184"/>
      <c r="C14" s="33" t="s">
        <v>197</v>
      </c>
      <c r="D14" s="25"/>
      <c r="E14" s="460">
        <v>2591</v>
      </c>
      <c r="F14" s="197">
        <v>2451</v>
      </c>
      <c r="G14" s="197">
        <v>2262</v>
      </c>
      <c r="H14" s="451">
        <v>2138</v>
      </c>
      <c r="I14" s="198">
        <v>2094</v>
      </c>
      <c r="J14" s="199"/>
      <c r="K14" s="200"/>
      <c r="L14" s="292"/>
      <c r="M14" s="201"/>
    </row>
    <row r="15" spans="2:13" ht="14.45" customHeight="1">
      <c r="B15" s="202"/>
      <c r="C15" s="203" t="s">
        <v>198</v>
      </c>
      <c r="D15" s="204" t="s">
        <v>199</v>
      </c>
      <c r="E15" s="461"/>
      <c r="F15" s="205"/>
      <c r="G15" s="205"/>
      <c r="H15" s="452"/>
      <c r="I15" s="205"/>
      <c r="J15" s="208">
        <f>'C0201-1産業推計計算式'!F55</f>
        <v>2040</v>
      </c>
      <c r="K15" s="208">
        <f>'C0201-1産業推計計算式'!H55</f>
        <v>1942</v>
      </c>
      <c r="L15" s="208">
        <f>'C0201-1産業推計計算式'!J55</f>
        <v>1844</v>
      </c>
      <c r="M15" s="210">
        <f>'C0201-1産業推計計算式'!L55</f>
        <v>1746</v>
      </c>
    </row>
    <row r="16" spans="2:13" ht="14.45" customHeight="1">
      <c r="B16" s="206"/>
      <c r="C16" s="67"/>
      <c r="D16" s="35" t="s">
        <v>200</v>
      </c>
      <c r="E16" s="462"/>
      <c r="F16" s="207"/>
      <c r="G16" s="207"/>
      <c r="H16" s="453"/>
      <c r="I16" s="207"/>
      <c r="J16" s="208">
        <f>'C0201-1産業推計計算式'!F56</f>
        <v>2049</v>
      </c>
      <c r="K16" s="208">
        <f>'C0201-1産業推計計算式'!H56</f>
        <v>1965</v>
      </c>
      <c r="L16" s="208">
        <f>'C0201-1産業推計計算式'!J56</f>
        <v>1883</v>
      </c>
      <c r="M16" s="210">
        <f>'C0201-1産業推計計算式'!L56</f>
        <v>1806</v>
      </c>
    </row>
    <row r="17" spans="2:13" ht="14.45" customHeight="1">
      <c r="B17" s="206"/>
      <c r="C17" s="67"/>
      <c r="D17" s="35" t="s">
        <v>201</v>
      </c>
      <c r="E17" s="462"/>
      <c r="F17" s="207"/>
      <c r="G17" s="207"/>
      <c r="H17" s="453"/>
      <c r="I17" s="207"/>
      <c r="J17" s="208">
        <f>'C0201-1産業推計計算式'!F57</f>
        <v>2064</v>
      </c>
      <c r="K17" s="208">
        <f>'C0201-1産業推計計算式'!H57</f>
        <v>1954</v>
      </c>
      <c r="L17" s="208">
        <f>'C0201-1産業推計計算式'!J57</f>
        <v>1844</v>
      </c>
      <c r="M17" s="210">
        <f>'C0201-1産業推計計算式'!L57</f>
        <v>1734</v>
      </c>
    </row>
    <row r="18" spans="2:13" ht="14.45" customHeight="1">
      <c r="B18" s="206"/>
      <c r="C18" s="67"/>
      <c r="D18" s="35" t="s">
        <v>202</v>
      </c>
      <c r="E18" s="462"/>
      <c r="F18" s="207"/>
      <c r="G18" s="207"/>
      <c r="H18" s="453"/>
      <c r="I18" s="207"/>
      <c r="J18" s="208">
        <f>'C0201-1産業推計計算式'!F58</f>
        <v>2132</v>
      </c>
      <c r="K18" s="208">
        <f>'C0201-1産業推計計算式'!H58</f>
        <v>2021</v>
      </c>
      <c r="L18" s="208">
        <f>'C0201-1産業推計計算式'!J58</f>
        <v>1909</v>
      </c>
      <c r="M18" s="210">
        <f>'C0201-1産業推計計算式'!L58</f>
        <v>1798</v>
      </c>
    </row>
    <row r="19" spans="2:13" ht="14.45" customHeight="1">
      <c r="B19" s="211"/>
      <c r="C19" s="69"/>
      <c r="D19" s="212" t="s">
        <v>284</v>
      </c>
      <c r="E19" s="463"/>
      <c r="F19" s="213"/>
      <c r="G19" s="213"/>
      <c r="H19" s="454"/>
      <c r="I19" s="213"/>
      <c r="J19" s="214">
        <f>'C0201-1産業推計計算式'!F59</f>
        <v>2071</v>
      </c>
      <c r="K19" s="214">
        <f>'C0201-1産業推計計算式'!H59</f>
        <v>1975</v>
      </c>
      <c r="L19" s="214">
        <f>'C0201-1産業推計計算式'!J59</f>
        <v>1884</v>
      </c>
      <c r="M19" s="216">
        <f>'C0201-1産業推計計算式'!L59</f>
        <v>1797</v>
      </c>
    </row>
    <row r="20" spans="2:13" ht="9.9499999999999993" customHeight="1">
      <c r="E20" s="189"/>
    </row>
    <row r="21" spans="2:13" ht="14.45" customHeight="1">
      <c r="B21" s="182"/>
      <c r="C21" s="670" t="s">
        <v>205</v>
      </c>
      <c r="D21" s="3"/>
      <c r="E21" s="191" t="s">
        <v>70</v>
      </c>
      <c r="F21" s="191" t="s">
        <v>176</v>
      </c>
      <c r="G21" s="191" t="s">
        <v>177</v>
      </c>
      <c r="H21" s="191" t="s">
        <v>178</v>
      </c>
      <c r="I21" s="192" t="s">
        <v>195</v>
      </c>
      <c r="J21" s="191" t="s">
        <v>444</v>
      </c>
      <c r="K21" s="191" t="s">
        <v>445</v>
      </c>
      <c r="L21" s="290" t="s">
        <v>446</v>
      </c>
      <c r="M21" s="193" t="s">
        <v>447</v>
      </c>
    </row>
    <row r="22" spans="2:13" ht="14.45" customHeight="1">
      <c r="B22" s="22"/>
      <c r="C22" s="671"/>
      <c r="D22" s="17"/>
      <c r="E22" s="194"/>
      <c r="F22" s="194"/>
      <c r="G22" s="194"/>
      <c r="H22" s="195"/>
      <c r="I22" s="195" t="s">
        <v>448</v>
      </c>
      <c r="J22" s="195"/>
      <c r="K22" s="195" t="s">
        <v>449</v>
      </c>
      <c r="L22" s="291"/>
      <c r="M22" s="196" t="s">
        <v>450</v>
      </c>
    </row>
    <row r="23" spans="2:13" s="33" customFormat="1" ht="14.45" customHeight="1">
      <c r="B23" s="184"/>
      <c r="C23" s="33" t="s">
        <v>197</v>
      </c>
      <c r="D23" s="25"/>
      <c r="E23" s="197">
        <v>2913</v>
      </c>
      <c r="F23" s="197">
        <v>3210</v>
      </c>
      <c r="G23" s="197">
        <v>3564</v>
      </c>
      <c r="H23" s="451">
        <v>3700</v>
      </c>
      <c r="I23" s="198">
        <v>3684</v>
      </c>
      <c r="J23" s="199"/>
      <c r="K23" s="200"/>
      <c r="L23" s="292"/>
      <c r="M23" s="201"/>
    </row>
    <row r="24" spans="2:13" ht="14.45" customHeight="1">
      <c r="B24" s="202"/>
      <c r="C24" s="203" t="s">
        <v>198</v>
      </c>
      <c r="D24" s="204" t="s">
        <v>199</v>
      </c>
      <c r="E24" s="461"/>
      <c r="F24" s="205"/>
      <c r="G24" s="205"/>
      <c r="H24" s="452"/>
      <c r="I24" s="205"/>
      <c r="J24" s="444">
        <f>'C0201-1産業推計計算式'!F90</f>
        <v>3959</v>
      </c>
      <c r="K24" s="444">
        <f>'C0201-1産業推計計算式'!H90</f>
        <v>4219</v>
      </c>
      <c r="L24" s="444">
        <f>'C0201-1産業推計計算式'!J90</f>
        <v>4478</v>
      </c>
      <c r="M24" s="445">
        <f>'C0201-1産業推計計算式'!L90</f>
        <v>4738</v>
      </c>
    </row>
    <row r="25" spans="2:13" ht="14.45" customHeight="1">
      <c r="B25" s="206"/>
      <c r="C25" s="67"/>
      <c r="D25" s="35" t="s">
        <v>200</v>
      </c>
      <c r="E25" s="462"/>
      <c r="F25" s="207"/>
      <c r="G25" s="207"/>
      <c r="H25" s="453"/>
      <c r="I25" s="207"/>
      <c r="J25" s="208">
        <f>'C0201-1産業推計計算式'!F91</f>
        <v>4017</v>
      </c>
      <c r="K25" s="208">
        <f>'C0201-1産業推計計算式'!H91</f>
        <v>4361</v>
      </c>
      <c r="L25" s="208">
        <f>'C0201-1産業推計計算式'!J91</f>
        <v>4735</v>
      </c>
      <c r="M25" s="210">
        <f>'C0201-1産業推計計算式'!L91</f>
        <v>5141</v>
      </c>
    </row>
    <row r="26" spans="2:13" ht="14.45" customHeight="1">
      <c r="B26" s="206"/>
      <c r="C26" s="67"/>
      <c r="D26" s="35" t="s">
        <v>201</v>
      </c>
      <c r="E26" s="462"/>
      <c r="F26" s="207"/>
      <c r="G26" s="207"/>
      <c r="H26" s="453"/>
      <c r="I26" s="207"/>
      <c r="J26" s="208">
        <f>'C0201-1産業推計計算式'!F92</f>
        <v>4019</v>
      </c>
      <c r="K26" s="208">
        <f>'C0201-1産業推計計算式'!H92</f>
        <v>4289</v>
      </c>
      <c r="L26" s="208">
        <f>'C0201-1産業推計計算式'!J92</f>
        <v>4559</v>
      </c>
      <c r="M26" s="210">
        <f>'C0201-1産業推計計算式'!L92</f>
        <v>4829</v>
      </c>
    </row>
    <row r="27" spans="2:13" ht="14.45" customHeight="1">
      <c r="B27" s="206"/>
      <c r="C27" s="67"/>
      <c r="D27" s="35" t="s">
        <v>202</v>
      </c>
      <c r="E27" s="462"/>
      <c r="F27" s="207"/>
      <c r="G27" s="207"/>
      <c r="H27" s="453"/>
      <c r="I27" s="207"/>
      <c r="J27" s="208">
        <f>'C0201-1産業推計計算式'!F93</f>
        <v>4070</v>
      </c>
      <c r="K27" s="208">
        <f>'C0201-1産業推計計算式'!H93</f>
        <v>4343</v>
      </c>
      <c r="L27" s="208">
        <f>'C0201-1産業推計計算式'!J93</f>
        <v>4615</v>
      </c>
      <c r="M27" s="210">
        <f>'C0201-1産業推計計算式'!L93</f>
        <v>4888</v>
      </c>
    </row>
    <row r="28" spans="2:13" ht="14.45" customHeight="1">
      <c r="B28" s="211"/>
      <c r="C28" s="69"/>
      <c r="D28" s="212" t="s">
        <v>284</v>
      </c>
      <c r="E28" s="463"/>
      <c r="F28" s="213"/>
      <c r="G28" s="213"/>
      <c r="H28" s="454"/>
      <c r="I28" s="213"/>
      <c r="J28" s="214">
        <f>'C0201-1産業推計計算式'!F94</f>
        <v>4122</v>
      </c>
      <c r="K28" s="214">
        <f>'C0201-1産業推計計算式'!H94</f>
        <v>4492</v>
      </c>
      <c r="L28" s="214">
        <f>'C0201-1産業推計計算式'!J94</f>
        <v>4896</v>
      </c>
      <c r="M28" s="216">
        <f>'C0201-1産業推計計算式'!L94</f>
        <v>5336</v>
      </c>
    </row>
    <row r="29" spans="2:13" ht="12" customHeight="1">
      <c r="M29" s="217" t="s">
        <v>206</v>
      </c>
    </row>
  </sheetData>
  <mergeCells count="3">
    <mergeCell ref="C21:C22"/>
    <mergeCell ref="C12:C13"/>
    <mergeCell ref="C3:C4"/>
  </mergeCells>
  <phoneticPr fontId="3"/>
  <pageMargins left="0.59055118110236227" right="0.59055118110236227" top="1.3779527559055118" bottom="0.78740157480314965" header="0.98425196850393704" footer="0.51181102362204722"/>
  <pageSetup paperSize="9" orientation="landscape" horizontalDpi="400" verticalDpi="400" r:id="rId1"/>
  <headerFooter alignWithMargins="0">
    <oddHeader>&amp;L&amp;"HGｺﾞｼｯｸM,ﾒﾃﾞｨｳﾑ"&amp;16産業大分類別就業者数&amp;R&amp;"HGｺﾞｼｯｸM,ﾒﾃﾞｨｳﾑ"
高森町　②産業　C0201-1産業大分類別就業者数</oddHeader>
    <oddFooter>&amp;R&amp;"HGｺﾞｼｯｸM,ﾒﾃﾞｨｳﾑ"C0201-1産業大分類別就業者数　&amp;P+3/7</oddFooter>
  </headerFooter>
</worksheet>
</file>

<file path=xl/worksheets/sheet4.xml><?xml version="1.0" encoding="utf-8"?>
<worksheet xmlns="http://schemas.openxmlformats.org/spreadsheetml/2006/main" xmlns:r="http://schemas.openxmlformats.org/officeDocument/2006/relationships">
  <dimension ref="B1:Q98"/>
  <sheetViews>
    <sheetView showGridLines="0" zoomScaleNormal="100" workbookViewId="0">
      <selection activeCell="H16" sqref="H16"/>
    </sheetView>
  </sheetViews>
  <sheetFormatPr defaultColWidth="8.875" defaultRowHeight="18" customHeight="1"/>
  <cols>
    <col min="1" max="1" width="1.75" style="1" customWidth="1"/>
    <col min="2" max="2" width="5.875" style="85" customWidth="1"/>
    <col min="3" max="5" width="9.75" style="1" customWidth="1"/>
    <col min="6" max="15" width="9.75" style="189" customWidth="1"/>
    <col min="16" max="17" width="1.75" style="1" customWidth="1"/>
    <col min="18" max="16384" width="8.875" style="1"/>
  </cols>
  <sheetData>
    <row r="1" spans="2:17" s="251" customFormat="1" ht="13.5" customHeight="1">
      <c r="B1" s="251" t="s">
        <v>285</v>
      </c>
      <c r="D1" s="252"/>
      <c r="E1" s="253"/>
      <c r="F1" s="253"/>
      <c r="G1" s="254"/>
      <c r="H1" s="254"/>
      <c r="I1" s="254"/>
      <c r="J1" s="254"/>
      <c r="K1" s="254"/>
      <c r="L1" s="254"/>
    </row>
    <row r="2" spans="2:17" s="259" customFormat="1" ht="13.5" customHeight="1">
      <c r="B2" s="251"/>
      <c r="C2" s="251"/>
      <c r="D2" s="255" t="s">
        <v>240</v>
      </c>
      <c r="E2" s="251"/>
      <c r="F2" s="251"/>
      <c r="G2" s="251"/>
      <c r="H2" s="251"/>
      <c r="I2" s="251"/>
      <c r="J2" s="251"/>
      <c r="K2" s="251"/>
      <c r="L2" s="251"/>
      <c r="M2" s="251"/>
      <c r="N2" s="251"/>
      <c r="O2" s="251"/>
      <c r="P2" s="251"/>
    </row>
    <row r="3" spans="2:17" s="251" customFormat="1" ht="13.5" customHeight="1">
      <c r="B3" s="256" t="s">
        <v>241</v>
      </c>
      <c r="C3" s="257" t="s">
        <v>242</v>
      </c>
      <c r="D3" s="256" t="s">
        <v>243</v>
      </c>
      <c r="E3" s="256" t="s">
        <v>244</v>
      </c>
      <c r="F3" s="256" t="s">
        <v>245</v>
      </c>
      <c r="G3" s="256" t="s">
        <v>246</v>
      </c>
      <c r="H3" s="256" t="s">
        <v>247</v>
      </c>
      <c r="I3" s="256" t="s">
        <v>248</v>
      </c>
      <c r="J3" s="256" t="s">
        <v>249</v>
      </c>
      <c r="K3" s="256" t="s">
        <v>250</v>
      </c>
      <c r="L3" s="256" t="s">
        <v>251</v>
      </c>
      <c r="M3" s="256" t="s">
        <v>245</v>
      </c>
      <c r="N3" s="258" t="s">
        <v>252</v>
      </c>
      <c r="O3" s="258" t="s">
        <v>253</v>
      </c>
      <c r="P3" s="288"/>
    </row>
    <row r="4" spans="2:17" s="251" customFormat="1" ht="13.5" customHeight="1">
      <c r="B4" s="260" t="s">
        <v>100</v>
      </c>
      <c r="C4" s="261">
        <v>-10</v>
      </c>
      <c r="D4" s="262">
        <v>1840</v>
      </c>
      <c r="E4" s="262">
        <f>C4*D4</f>
        <v>-18400</v>
      </c>
      <c r="F4" s="262">
        <f>C4*C4</f>
        <v>100</v>
      </c>
      <c r="G4" s="262">
        <f>F4*D4</f>
        <v>184000</v>
      </c>
      <c r="H4" s="262">
        <f>F4*F4</f>
        <v>10000</v>
      </c>
      <c r="I4" s="263">
        <f>LOG10(D4)</f>
        <v>3.2648178230095364</v>
      </c>
      <c r="J4" s="263">
        <f>C4*I4</f>
        <v>-32.648178230095361</v>
      </c>
      <c r="K4" s="261">
        <v>0</v>
      </c>
      <c r="L4" s="264"/>
      <c r="M4" s="264"/>
      <c r="N4" s="265">
        <f>ROUNDDOWN(((D4/D8)*100),2)</f>
        <v>151.81</v>
      </c>
      <c r="O4" s="266"/>
      <c r="P4" s="254"/>
    </row>
    <row r="5" spans="2:17" s="251" customFormat="1" ht="13.5" customHeight="1">
      <c r="B5" s="260" t="s">
        <v>108</v>
      </c>
      <c r="C5" s="261">
        <v>-5</v>
      </c>
      <c r="D5" s="262">
        <v>1691</v>
      </c>
      <c r="E5" s="262">
        <f>C5*D5</f>
        <v>-8455</v>
      </c>
      <c r="F5" s="262">
        <f>C5*C5</f>
        <v>25</v>
      </c>
      <c r="G5" s="262">
        <f>F5*D5</f>
        <v>42275</v>
      </c>
      <c r="H5" s="262">
        <f>F5*F5</f>
        <v>625</v>
      </c>
      <c r="I5" s="263">
        <f>LOG10(D5)</f>
        <v>3.2281436075977417</v>
      </c>
      <c r="J5" s="263">
        <f>C5*I5</f>
        <v>-16.140718037988709</v>
      </c>
      <c r="K5" s="261">
        <v>5</v>
      </c>
      <c r="L5" s="264">
        <f>LOG10(K5)</f>
        <v>0.69897000433601886</v>
      </c>
      <c r="M5" s="264">
        <f>L5*L5</f>
        <v>0.4885590669614942</v>
      </c>
      <c r="N5" s="265">
        <f>ROUNDDOWN(((D5/D8)*100),2)</f>
        <v>139.52000000000001</v>
      </c>
      <c r="O5" s="265">
        <f>(N5-N4)</f>
        <v>-12.289999999999992</v>
      </c>
      <c r="P5" s="289"/>
    </row>
    <row r="6" spans="2:17" s="251" customFormat="1" ht="13.5" customHeight="1">
      <c r="B6" s="267" t="s">
        <v>254</v>
      </c>
      <c r="C6" s="261">
        <v>0</v>
      </c>
      <c r="D6" s="262">
        <v>1575</v>
      </c>
      <c r="E6" s="262">
        <f>C6*D6</f>
        <v>0</v>
      </c>
      <c r="F6" s="262">
        <f>C6*C6</f>
        <v>0</v>
      </c>
      <c r="G6" s="262">
        <f>F6*D6</f>
        <v>0</v>
      </c>
      <c r="H6" s="262">
        <f>F6*F6</f>
        <v>0</v>
      </c>
      <c r="I6" s="263">
        <f>LOG10(D6)</f>
        <v>3.1972805581256192</v>
      </c>
      <c r="J6" s="263">
        <f>C6*I6</f>
        <v>0</v>
      </c>
      <c r="K6" s="261">
        <v>10</v>
      </c>
      <c r="L6" s="264">
        <f>LOG10(K6)</f>
        <v>1</v>
      </c>
      <c r="M6" s="264">
        <f>L6*L6</f>
        <v>1</v>
      </c>
      <c r="N6" s="265">
        <f>ROUNDDOWN(((D6/D8)*100),2)</f>
        <v>129.94999999999999</v>
      </c>
      <c r="O6" s="265">
        <f>(N6-N4)</f>
        <v>-21.860000000000014</v>
      </c>
      <c r="P6" s="289"/>
    </row>
    <row r="7" spans="2:17" s="251" customFormat="1" ht="13.5" customHeight="1">
      <c r="B7" s="267" t="s">
        <v>255</v>
      </c>
      <c r="C7" s="261">
        <v>5</v>
      </c>
      <c r="D7" s="262">
        <v>1257</v>
      </c>
      <c r="E7" s="262">
        <f>C7*D7</f>
        <v>6285</v>
      </c>
      <c r="F7" s="262">
        <f>C7*C7</f>
        <v>25</v>
      </c>
      <c r="G7" s="262">
        <f>F7*D7</f>
        <v>31425</v>
      </c>
      <c r="H7" s="262">
        <f>F7*F7</f>
        <v>625</v>
      </c>
      <c r="I7" s="263">
        <f>LOG10(D7)</f>
        <v>3.0993352776859577</v>
      </c>
      <c r="J7" s="263">
        <f>C7*I7</f>
        <v>15.496676388429789</v>
      </c>
      <c r="K7" s="261">
        <v>15</v>
      </c>
      <c r="L7" s="264">
        <f>LOG10(K7)</f>
        <v>1.1760912590556813</v>
      </c>
      <c r="M7" s="264">
        <f>L7*L7</f>
        <v>1.3831906496271777</v>
      </c>
      <c r="N7" s="265">
        <f>ROUNDDOWN(((D7/D8)*100),2)</f>
        <v>103.71</v>
      </c>
      <c r="O7" s="265">
        <f>(N7-N4)</f>
        <v>-48.100000000000009</v>
      </c>
      <c r="P7" s="289"/>
    </row>
    <row r="8" spans="2:17" s="251" customFormat="1" ht="13.5" customHeight="1">
      <c r="B8" s="267" t="s">
        <v>440</v>
      </c>
      <c r="C8" s="268">
        <v>10</v>
      </c>
      <c r="D8" s="269">
        <v>1212</v>
      </c>
      <c r="E8" s="269">
        <f>C8*D8</f>
        <v>12120</v>
      </c>
      <c r="F8" s="269">
        <f>C8*C8</f>
        <v>100</v>
      </c>
      <c r="G8" s="269">
        <f>F8*D8</f>
        <v>121200</v>
      </c>
      <c r="H8" s="269">
        <f>F8*F8</f>
        <v>10000</v>
      </c>
      <c r="I8" s="270">
        <f>LOG10(D8)</f>
        <v>3.0835026198302673</v>
      </c>
      <c r="J8" s="270">
        <f>C8*I8</f>
        <v>30.835026198302671</v>
      </c>
      <c r="K8" s="268">
        <v>20</v>
      </c>
      <c r="L8" s="271">
        <f>LOG10(K8)</f>
        <v>1.3010299956639813</v>
      </c>
      <c r="M8" s="271">
        <f>L8*L8</f>
        <v>1.6926790496174191</v>
      </c>
      <c r="N8" s="272">
        <v>100</v>
      </c>
      <c r="O8" s="265">
        <f>(N8-N4)</f>
        <v>-51.81</v>
      </c>
      <c r="P8" s="289"/>
    </row>
    <row r="9" spans="2:17" s="251" customFormat="1" ht="13.5" customHeight="1">
      <c r="B9" s="279" t="s">
        <v>256</v>
      </c>
      <c r="C9" s="268"/>
      <c r="D9" s="269">
        <f>SUM(D4:D8)</f>
        <v>7575</v>
      </c>
      <c r="E9" s="269">
        <f t="shared" ref="E9:J9" si="0">SUM(E4:E8)</f>
        <v>-8450</v>
      </c>
      <c r="F9" s="269">
        <f t="shared" si="0"/>
        <v>250</v>
      </c>
      <c r="G9" s="269">
        <f t="shared" si="0"/>
        <v>378900</v>
      </c>
      <c r="H9" s="269">
        <f t="shared" si="0"/>
        <v>21250</v>
      </c>
      <c r="I9" s="270">
        <f t="shared" si="0"/>
        <v>15.873079886249123</v>
      </c>
      <c r="J9" s="270">
        <f t="shared" si="0"/>
        <v>-2.4571936813516118</v>
      </c>
      <c r="K9" s="268">
        <v>5</v>
      </c>
      <c r="L9" s="271">
        <f>SUM(L5:L8)</f>
        <v>4.1760912590556813</v>
      </c>
      <c r="M9" s="271">
        <f>SUM(M5:M8)</f>
        <v>4.5644287662060909</v>
      </c>
      <c r="N9" s="273"/>
      <c r="O9" s="266"/>
      <c r="P9" s="254"/>
    </row>
    <row r="10" spans="2:17" s="251" customFormat="1" ht="13.5" customHeight="1">
      <c r="B10" s="274" t="s">
        <v>257</v>
      </c>
      <c r="C10" s="275"/>
      <c r="D10" s="276"/>
      <c r="E10" s="274"/>
      <c r="F10" s="277"/>
      <c r="G10" s="275"/>
      <c r="H10" s="275"/>
      <c r="I10" s="275"/>
      <c r="J10" s="275"/>
      <c r="K10" s="274"/>
      <c r="L10" s="274"/>
      <c r="M10" s="278"/>
      <c r="N10" s="274"/>
    </row>
    <row r="11" spans="2:17" s="251" customFormat="1" ht="13.5" customHeight="1">
      <c r="B11" s="275"/>
      <c r="C11" s="275"/>
      <c r="D11" s="276"/>
      <c r="E11" s="274" t="s">
        <v>258</v>
      </c>
      <c r="F11" s="274"/>
      <c r="G11" s="274"/>
      <c r="H11" s="274"/>
      <c r="I11" s="274"/>
      <c r="J11" s="274"/>
      <c r="K11" s="274"/>
      <c r="L11" s="274"/>
      <c r="M11" s="278"/>
      <c r="N11" s="274"/>
    </row>
    <row r="12" spans="2:17" s="251" customFormat="1" ht="13.5" customHeight="1">
      <c r="B12" s="274"/>
      <c r="C12" s="274"/>
      <c r="D12" s="276"/>
      <c r="E12" s="279" t="s">
        <v>259</v>
      </c>
      <c r="F12" s="279" t="s">
        <v>260</v>
      </c>
      <c r="G12" s="279" t="s">
        <v>261</v>
      </c>
      <c r="H12" s="279" t="s">
        <v>262</v>
      </c>
      <c r="I12" s="279" t="s">
        <v>263</v>
      </c>
      <c r="J12" s="280" t="s">
        <v>264</v>
      </c>
      <c r="K12" s="678" t="s">
        <v>265</v>
      </c>
      <c r="L12" s="679"/>
      <c r="M12" s="278"/>
      <c r="N12" s="274"/>
      <c r="Q12" s="286"/>
    </row>
    <row r="13" spans="2:17" s="251" customFormat="1" ht="13.5" customHeight="1">
      <c r="B13" s="274"/>
      <c r="C13" s="274"/>
      <c r="D13" s="276"/>
      <c r="E13" s="279" t="s">
        <v>266</v>
      </c>
      <c r="F13" s="279" t="s">
        <v>267</v>
      </c>
      <c r="G13" s="273">
        <f>ROUNDDOWN((D8-D4)/20,1)</f>
        <v>-31.4</v>
      </c>
      <c r="H13" s="273"/>
      <c r="I13" s="273"/>
      <c r="J13" s="281"/>
      <c r="K13" s="281" t="s">
        <v>441</v>
      </c>
      <c r="L13" s="282"/>
      <c r="M13" s="278"/>
      <c r="N13" s="274"/>
      <c r="O13" s="33"/>
      <c r="P13" s="33"/>
      <c r="Q13" s="230"/>
    </row>
    <row r="14" spans="2:17" s="251" customFormat="1" ht="13.5" customHeight="1">
      <c r="B14" s="275"/>
      <c r="C14" s="275"/>
      <c r="D14" s="276"/>
      <c r="E14" s="279" t="s">
        <v>268</v>
      </c>
      <c r="F14" s="279" t="s">
        <v>269</v>
      </c>
      <c r="G14" s="273">
        <f>ROUNDDOWN(POWER(10,LOG10(D8/D4)/20)-1,5)</f>
        <v>-2.0650000000000002E-2</v>
      </c>
      <c r="H14" s="273"/>
      <c r="I14" s="273"/>
      <c r="J14" s="281"/>
      <c r="K14" s="281" t="s">
        <v>441</v>
      </c>
      <c r="L14" s="283"/>
      <c r="M14" s="278"/>
      <c r="N14" s="274"/>
      <c r="O14" s="59"/>
      <c r="P14" s="59"/>
      <c r="Q14" s="230"/>
    </row>
    <row r="15" spans="2:17" s="251" customFormat="1" ht="13.5" customHeight="1">
      <c r="B15" s="275"/>
      <c r="C15" s="275"/>
      <c r="D15" s="276"/>
      <c r="E15" s="279" t="s">
        <v>270</v>
      </c>
      <c r="F15" s="279" t="s">
        <v>271</v>
      </c>
      <c r="G15" s="273"/>
      <c r="H15" s="273">
        <f>ROUNDDOWN(E9/F9,0)</f>
        <v>-33</v>
      </c>
      <c r="I15" s="439">
        <f>ROUNDDOWN(D9/K9,0)</f>
        <v>1515</v>
      </c>
      <c r="J15" s="281"/>
      <c r="K15" s="281" t="s">
        <v>441</v>
      </c>
      <c r="L15" s="282"/>
      <c r="M15" s="278"/>
      <c r="N15" s="274"/>
      <c r="O15" s="59"/>
      <c r="P15" s="59"/>
      <c r="Q15" s="230"/>
    </row>
    <row r="16" spans="2:17" s="251" customFormat="1" ht="13.5" customHeight="1">
      <c r="B16" s="275"/>
      <c r="C16" s="275"/>
      <c r="D16" s="276"/>
      <c r="E16" s="279" t="s">
        <v>272</v>
      </c>
      <c r="F16" s="279" t="s">
        <v>273</v>
      </c>
      <c r="G16" s="273"/>
      <c r="H16" s="273">
        <f>ROUNDDOWN(((G9-(K9*G9))/((F9*F9)-(K9*H9)))/1000,5)</f>
        <v>3.4639999999999997E-2</v>
      </c>
      <c r="I16" s="273">
        <f>ROUNDDOWN(E9/F9,5)</f>
        <v>-33.799999999999997</v>
      </c>
      <c r="J16" s="440">
        <f>ROUNDDOWN(((F9*G9)-(D9*H9))/((F9*F9)-(K9*H9)),0)</f>
        <v>1514</v>
      </c>
      <c r="K16" s="281" t="s">
        <v>441</v>
      </c>
      <c r="L16" s="282"/>
      <c r="M16" s="278"/>
      <c r="N16" s="274"/>
      <c r="O16" s="59"/>
      <c r="P16" s="59"/>
      <c r="Q16" s="230"/>
    </row>
    <row r="17" spans="2:16" s="251" customFormat="1" ht="13.5" customHeight="1">
      <c r="B17" s="275"/>
      <c r="C17" s="275"/>
      <c r="D17" s="276"/>
      <c r="E17" s="279" t="s">
        <v>274</v>
      </c>
      <c r="F17" s="279" t="s">
        <v>275</v>
      </c>
      <c r="G17" s="273"/>
      <c r="H17" s="439">
        <f>ROUNDDOWN(POWER(10,(I9/K9)),0)</f>
        <v>1494</v>
      </c>
      <c r="I17" s="273">
        <f>ROUNDDOWN(POWER(10,(J9/F9)),5)</f>
        <v>0.97762000000000004</v>
      </c>
      <c r="J17" s="281"/>
      <c r="K17" s="281" t="s">
        <v>441</v>
      </c>
      <c r="L17" s="282"/>
      <c r="M17" s="278"/>
      <c r="N17" s="274"/>
      <c r="O17" s="59"/>
      <c r="P17" s="59"/>
    </row>
    <row r="18" spans="2:16" s="251" customFormat="1" ht="13.5" customHeight="1">
      <c r="B18" s="254"/>
      <c r="C18" s="254"/>
      <c r="D18" s="252"/>
      <c r="E18" s="253"/>
      <c r="F18" s="253"/>
      <c r="G18" s="254"/>
      <c r="H18" s="254"/>
      <c r="I18" s="254"/>
      <c r="J18" s="254"/>
      <c r="K18" s="285"/>
      <c r="L18" s="253"/>
      <c r="M18" s="284"/>
      <c r="O18" s="287"/>
      <c r="P18" s="287"/>
    </row>
    <row r="19" spans="2:16" s="251" customFormat="1" ht="13.5" customHeight="1">
      <c r="B19" s="672" t="s">
        <v>259</v>
      </c>
      <c r="C19" s="672"/>
      <c r="D19" s="680" t="s">
        <v>276</v>
      </c>
      <c r="E19" s="681"/>
      <c r="F19" s="672" t="s">
        <v>451</v>
      </c>
      <c r="G19" s="672"/>
      <c r="H19" s="682" t="s">
        <v>452</v>
      </c>
      <c r="I19" s="683"/>
      <c r="J19" s="682" t="s">
        <v>453</v>
      </c>
      <c r="K19" s="683"/>
      <c r="L19" s="682" t="s">
        <v>454</v>
      </c>
      <c r="M19" s="683"/>
    </row>
    <row r="20" spans="2:16" s="251" customFormat="1" ht="13.5" customHeight="1">
      <c r="B20" s="672" t="s">
        <v>266</v>
      </c>
      <c r="C20" s="672"/>
      <c r="D20" s="673" t="s">
        <v>277</v>
      </c>
      <c r="E20" s="674"/>
      <c r="F20" s="675">
        <f>ROUNDDOWN(D8+G13*5,0)</f>
        <v>1055</v>
      </c>
      <c r="G20" s="675"/>
      <c r="H20" s="676">
        <f>ROUNDDOWN(D8+G13*10,0)</f>
        <v>898</v>
      </c>
      <c r="I20" s="677"/>
      <c r="J20" s="676">
        <f>ROUNDDOWN(D8+G13*15,0)</f>
        <v>741</v>
      </c>
      <c r="K20" s="677"/>
      <c r="L20" s="676">
        <f>ROUNDDOWN(D8+G13*20,0)</f>
        <v>584</v>
      </c>
      <c r="M20" s="677"/>
    </row>
    <row r="21" spans="2:16" s="251" customFormat="1" ht="13.5" customHeight="1">
      <c r="B21" s="672" t="s">
        <v>268</v>
      </c>
      <c r="C21" s="672"/>
      <c r="D21" s="673" t="s">
        <v>278</v>
      </c>
      <c r="E21" s="674"/>
      <c r="F21" s="675">
        <f>ROUNDDOWN(D8*POWER(1+G14,5),0)</f>
        <v>1091</v>
      </c>
      <c r="G21" s="675"/>
      <c r="H21" s="676">
        <f>ROUNDDOWN(D8*POWER(1+G14,10),0)</f>
        <v>983</v>
      </c>
      <c r="I21" s="677"/>
      <c r="J21" s="676">
        <f>ROUNDDOWN(D8*POWER(1+G14,15),0)</f>
        <v>886</v>
      </c>
      <c r="K21" s="677"/>
      <c r="L21" s="676">
        <f>ROUNDDOWN(D8*POWER(1+G14,20),0)</f>
        <v>798</v>
      </c>
      <c r="M21" s="677"/>
    </row>
    <row r="22" spans="2:16" s="251" customFormat="1" ht="13.5" customHeight="1">
      <c r="B22" s="672" t="s">
        <v>279</v>
      </c>
      <c r="C22" s="672"/>
      <c r="D22" s="673" t="s">
        <v>280</v>
      </c>
      <c r="E22" s="674"/>
      <c r="F22" s="675">
        <f>ROUNDDOWN(H15*15+I15,0)</f>
        <v>1020</v>
      </c>
      <c r="G22" s="675"/>
      <c r="H22" s="676">
        <f>ROUNDDOWN(H15*20+I15,0)</f>
        <v>855</v>
      </c>
      <c r="I22" s="677"/>
      <c r="J22" s="676">
        <f>ROUNDDOWN(H15*25+I15,0)</f>
        <v>690</v>
      </c>
      <c r="K22" s="677"/>
      <c r="L22" s="676">
        <f>ROUNDDOWN(H15*30+I15,0)</f>
        <v>525</v>
      </c>
      <c r="M22" s="677"/>
    </row>
    <row r="23" spans="2:16" s="251" customFormat="1" ht="13.5" customHeight="1">
      <c r="B23" s="672" t="s">
        <v>281</v>
      </c>
      <c r="C23" s="672"/>
      <c r="D23" s="673" t="s">
        <v>282</v>
      </c>
      <c r="E23" s="674"/>
      <c r="F23" s="675">
        <f>ROUNDDOWN(H16*F9+I16*15+J16,0)</f>
        <v>1015</v>
      </c>
      <c r="G23" s="675"/>
      <c r="H23" s="676">
        <f>ROUNDDOWN(H16*F9+I16*20+J16,0)</f>
        <v>846</v>
      </c>
      <c r="I23" s="677"/>
      <c r="J23" s="676">
        <f>ROUNDDOWN(H16*F9+I16*25+J16,0)</f>
        <v>677</v>
      </c>
      <c r="K23" s="677"/>
      <c r="L23" s="676">
        <f>ROUNDDOWN(H16*F9+I16*30+J16,0)</f>
        <v>508</v>
      </c>
      <c r="M23" s="677"/>
    </row>
    <row r="24" spans="2:16" s="251" customFormat="1" ht="13.5" customHeight="1">
      <c r="B24" s="672" t="s">
        <v>274</v>
      </c>
      <c r="C24" s="672"/>
      <c r="D24" s="673" t="s">
        <v>283</v>
      </c>
      <c r="E24" s="674"/>
      <c r="F24" s="675">
        <f>ROUNDDOWN(H17*POWER(I17,15),0)</f>
        <v>1063</v>
      </c>
      <c r="G24" s="675"/>
      <c r="H24" s="676">
        <f>ROUNDDOWN(H17*POWER(I17,20),0)</f>
        <v>950</v>
      </c>
      <c r="I24" s="677"/>
      <c r="J24" s="676">
        <f>ROUNDDOWN(H17*POWER(I17,25),0)</f>
        <v>848</v>
      </c>
      <c r="K24" s="677"/>
      <c r="L24" s="676">
        <f>ROUNDDOWN(H17*POWER(I17,30),0)</f>
        <v>757</v>
      </c>
      <c r="M24" s="677"/>
    </row>
    <row r="25" spans="2:16" s="251" customFormat="1" ht="13.5" customHeight="1">
      <c r="B25" s="254"/>
      <c r="C25" s="254"/>
      <c r="D25" s="252" t="s">
        <v>442</v>
      </c>
      <c r="E25" s="253"/>
      <c r="F25" s="253"/>
      <c r="G25" s="254"/>
      <c r="H25" s="254"/>
      <c r="I25" s="254"/>
      <c r="J25" s="254"/>
      <c r="K25" s="285"/>
      <c r="L25" s="253"/>
      <c r="M25" s="284"/>
    </row>
    <row r="26" spans="2:16" s="251" customFormat="1" ht="13.5" customHeight="1">
      <c r="B26" s="254"/>
      <c r="C26" s="254"/>
      <c r="D26" s="276" t="s">
        <v>380</v>
      </c>
      <c r="E26" s="253"/>
      <c r="F26" s="253"/>
      <c r="G26" s="254"/>
      <c r="H26" s="254"/>
      <c r="I26" s="254"/>
      <c r="J26" s="254"/>
      <c r="K26" s="285"/>
      <c r="L26" s="253"/>
      <c r="M26" s="284"/>
    </row>
    <row r="27" spans="2:16" s="251" customFormat="1" ht="13.5" customHeight="1">
      <c r="B27" s="254"/>
      <c r="C27" s="254"/>
      <c r="D27" s="252" t="s">
        <v>443</v>
      </c>
      <c r="E27" s="253"/>
      <c r="F27" s="253"/>
      <c r="G27" s="254"/>
      <c r="H27" s="254"/>
      <c r="I27" s="254"/>
      <c r="J27" s="254"/>
      <c r="K27" s="285"/>
      <c r="L27" s="253"/>
      <c r="M27" s="284"/>
    </row>
    <row r="28" spans="2:16" s="251" customFormat="1" ht="13.5" customHeight="1"/>
    <row r="29" spans="2:16" s="251" customFormat="1" ht="13.5" customHeight="1"/>
    <row r="30" spans="2:16" s="251" customFormat="1" ht="13.5" customHeight="1"/>
    <row r="31" spans="2:16" s="251" customFormat="1" ht="13.5" customHeight="1"/>
    <row r="32" spans="2:16" s="251" customFormat="1" ht="13.5" customHeight="1"/>
    <row r="33" spans="2:17" s="251" customFormat="1" ht="13.5" customHeight="1"/>
    <row r="34" spans="2:17" s="251" customFormat="1" ht="13.5" customHeight="1"/>
    <row r="35" spans="2:17" s="251" customFormat="1" ht="13.5" customHeight="1"/>
    <row r="36" spans="2:17" s="251" customFormat="1" ht="13.5" customHeight="1">
      <c r="B36" s="251" t="s">
        <v>286</v>
      </c>
      <c r="D36" s="252"/>
      <c r="E36" s="253"/>
      <c r="F36" s="253"/>
      <c r="G36" s="254"/>
      <c r="H36" s="254"/>
      <c r="I36" s="254"/>
      <c r="J36" s="254"/>
      <c r="K36" s="254"/>
      <c r="L36" s="254"/>
    </row>
    <row r="37" spans="2:17" s="259" customFormat="1" ht="13.5" customHeight="1">
      <c r="B37" s="251"/>
      <c r="C37" s="251"/>
      <c r="D37" s="255" t="s">
        <v>240</v>
      </c>
      <c r="E37" s="251"/>
      <c r="F37" s="251"/>
      <c r="G37" s="251"/>
      <c r="H37" s="251"/>
      <c r="I37" s="251"/>
      <c r="J37" s="251"/>
      <c r="K37" s="251"/>
      <c r="L37" s="251"/>
      <c r="M37" s="251"/>
      <c r="N37" s="251"/>
      <c r="O37" s="251"/>
      <c r="P37" s="251"/>
    </row>
    <row r="38" spans="2:17" s="251" customFormat="1" ht="13.5" customHeight="1">
      <c r="B38" s="256" t="s">
        <v>241</v>
      </c>
      <c r="C38" s="257" t="s">
        <v>242</v>
      </c>
      <c r="D38" s="256" t="s">
        <v>243</v>
      </c>
      <c r="E38" s="256" t="s">
        <v>244</v>
      </c>
      <c r="F38" s="256" t="s">
        <v>245</v>
      </c>
      <c r="G38" s="256" t="s">
        <v>246</v>
      </c>
      <c r="H38" s="256" t="s">
        <v>247</v>
      </c>
      <c r="I38" s="256" t="s">
        <v>248</v>
      </c>
      <c r="J38" s="256" t="s">
        <v>249</v>
      </c>
      <c r="K38" s="256" t="s">
        <v>250</v>
      </c>
      <c r="L38" s="256" t="s">
        <v>251</v>
      </c>
      <c r="M38" s="256" t="s">
        <v>245</v>
      </c>
      <c r="N38" s="258" t="s">
        <v>252</v>
      </c>
      <c r="O38" s="258" t="s">
        <v>253</v>
      </c>
      <c r="P38" s="288"/>
    </row>
    <row r="39" spans="2:17" s="251" customFormat="1" ht="13.5" customHeight="1">
      <c r="B39" s="260" t="s">
        <v>100</v>
      </c>
      <c r="C39" s="261">
        <v>-10</v>
      </c>
      <c r="D39" s="262">
        <v>2531</v>
      </c>
      <c r="E39" s="262">
        <f>C39*D39</f>
        <v>-25310</v>
      </c>
      <c r="F39" s="262">
        <f>C39*C39</f>
        <v>100</v>
      </c>
      <c r="G39" s="262">
        <f>F39*D39</f>
        <v>253100</v>
      </c>
      <c r="H39" s="262">
        <f>F39*F39</f>
        <v>10000</v>
      </c>
      <c r="I39" s="263">
        <f>LOG10(D39)</f>
        <v>3.4032921451582543</v>
      </c>
      <c r="J39" s="263">
        <f>C39*I39</f>
        <v>-34.032921451582546</v>
      </c>
      <c r="K39" s="261">
        <v>0</v>
      </c>
      <c r="L39" s="264"/>
      <c r="M39" s="264"/>
      <c r="N39" s="265">
        <f>ROUNDDOWN(((D39/D43)*100),2)</f>
        <v>118.38</v>
      </c>
      <c r="O39" s="266"/>
      <c r="P39" s="254"/>
    </row>
    <row r="40" spans="2:17" s="251" customFormat="1" ht="13.5" customHeight="1">
      <c r="B40" s="260" t="s">
        <v>108</v>
      </c>
      <c r="C40" s="261">
        <v>-5</v>
      </c>
      <c r="D40" s="262">
        <v>2591</v>
      </c>
      <c r="E40" s="262">
        <f>C40*D40</f>
        <v>-12955</v>
      </c>
      <c r="F40" s="262">
        <f>C40*C40</f>
        <v>25</v>
      </c>
      <c r="G40" s="262">
        <f>F40*D40</f>
        <v>64775</v>
      </c>
      <c r="H40" s="262">
        <f>F40*F40</f>
        <v>625</v>
      </c>
      <c r="I40" s="263">
        <f>LOG10(D40)</f>
        <v>3.4134674129858249</v>
      </c>
      <c r="J40" s="263">
        <f>C40*I40</f>
        <v>-17.067337064929124</v>
      </c>
      <c r="K40" s="261">
        <v>5</v>
      </c>
      <c r="L40" s="264">
        <f>LOG10(K40)</f>
        <v>0.69897000433601886</v>
      </c>
      <c r="M40" s="264">
        <f>L40*L40</f>
        <v>0.4885590669614942</v>
      </c>
      <c r="N40" s="265">
        <f>ROUNDDOWN(((D40/D43)*100),2)</f>
        <v>121.18</v>
      </c>
      <c r="O40" s="265">
        <f>(N40-N39)</f>
        <v>2.8000000000000114</v>
      </c>
      <c r="P40" s="289"/>
    </row>
    <row r="41" spans="2:17" s="251" customFormat="1" ht="13.5" customHeight="1">
      <c r="B41" s="267" t="s">
        <v>254</v>
      </c>
      <c r="C41" s="261">
        <v>0</v>
      </c>
      <c r="D41" s="262">
        <v>2451</v>
      </c>
      <c r="E41" s="262">
        <f>C41*D41</f>
        <v>0</v>
      </c>
      <c r="F41" s="262">
        <f>C41*C41</f>
        <v>0</v>
      </c>
      <c r="G41" s="262">
        <f>F41*D41</f>
        <v>0</v>
      </c>
      <c r="H41" s="262">
        <f>F41*F41</f>
        <v>0</v>
      </c>
      <c r="I41" s="263">
        <f>LOG10(D41)</f>
        <v>3.3893433112520781</v>
      </c>
      <c r="J41" s="263">
        <f>C41*I41</f>
        <v>0</v>
      </c>
      <c r="K41" s="261">
        <v>10</v>
      </c>
      <c r="L41" s="264">
        <f>LOG10(K41)</f>
        <v>1</v>
      </c>
      <c r="M41" s="264">
        <f>L41*L41</f>
        <v>1</v>
      </c>
      <c r="N41" s="265">
        <f>ROUNDDOWN(((D41/D43)*100),2)</f>
        <v>114.63</v>
      </c>
      <c r="O41" s="265">
        <f>(N41-N39)</f>
        <v>-3.75</v>
      </c>
      <c r="P41" s="289"/>
    </row>
    <row r="42" spans="2:17" s="251" customFormat="1" ht="13.5" customHeight="1">
      <c r="B42" s="267" t="s">
        <v>255</v>
      </c>
      <c r="C42" s="261">
        <v>5</v>
      </c>
      <c r="D42" s="262">
        <v>2262</v>
      </c>
      <c r="E42" s="262">
        <f>C42*D42</f>
        <v>11310</v>
      </c>
      <c r="F42" s="262">
        <f>C42*C42</f>
        <v>25</v>
      </c>
      <c r="G42" s="262">
        <f>F42*D42</f>
        <v>56550</v>
      </c>
      <c r="H42" s="262">
        <f>F42*F42</f>
        <v>625</v>
      </c>
      <c r="I42" s="263">
        <f>LOG10(D42)</f>
        <v>3.3544926005894364</v>
      </c>
      <c r="J42" s="263">
        <f>C42*I42</f>
        <v>16.772463002947184</v>
      </c>
      <c r="K42" s="261">
        <v>15</v>
      </c>
      <c r="L42" s="264">
        <f>LOG10(K42)</f>
        <v>1.1760912590556813</v>
      </c>
      <c r="M42" s="264">
        <f>L42*L42</f>
        <v>1.3831906496271777</v>
      </c>
      <c r="N42" s="265">
        <f>ROUNDDOWN(((D42/D43)*100),2)</f>
        <v>105.79</v>
      </c>
      <c r="O42" s="265">
        <f>(N42-N39)</f>
        <v>-12.589999999999989</v>
      </c>
      <c r="P42" s="289"/>
    </row>
    <row r="43" spans="2:17" s="251" customFormat="1" ht="13.5" customHeight="1">
      <c r="B43" s="267" t="s">
        <v>440</v>
      </c>
      <c r="C43" s="268">
        <v>10</v>
      </c>
      <c r="D43" s="269">
        <v>2138</v>
      </c>
      <c r="E43" s="269">
        <f>C43*D43</f>
        <v>21380</v>
      </c>
      <c r="F43" s="269">
        <f>C43*C43</f>
        <v>100</v>
      </c>
      <c r="G43" s="269">
        <f>F43*D43</f>
        <v>213800</v>
      </c>
      <c r="H43" s="269">
        <f>F43*F43</f>
        <v>10000</v>
      </c>
      <c r="I43" s="270">
        <f>LOG10(D43)</f>
        <v>3.3300077008727591</v>
      </c>
      <c r="J43" s="270">
        <f>C43*I43</f>
        <v>33.300077008727591</v>
      </c>
      <c r="K43" s="268">
        <v>20</v>
      </c>
      <c r="L43" s="271">
        <f>LOG10(K43)</f>
        <v>1.3010299956639813</v>
      </c>
      <c r="M43" s="271">
        <f>L43*L43</f>
        <v>1.6926790496174191</v>
      </c>
      <c r="N43" s="272">
        <v>100</v>
      </c>
      <c r="O43" s="265">
        <f>(N43-N39)</f>
        <v>-18.379999999999995</v>
      </c>
      <c r="P43" s="289"/>
    </row>
    <row r="44" spans="2:17" s="251" customFormat="1" ht="13.5" customHeight="1">
      <c r="B44" s="279" t="s">
        <v>256</v>
      </c>
      <c r="C44" s="268"/>
      <c r="D44" s="269">
        <f t="shared" ref="D44:J44" si="1">SUM(D39:D43)</f>
        <v>11973</v>
      </c>
      <c r="E44" s="269">
        <f t="shared" si="1"/>
        <v>-5575</v>
      </c>
      <c r="F44" s="269">
        <f t="shared" si="1"/>
        <v>250</v>
      </c>
      <c r="G44" s="269">
        <f t="shared" si="1"/>
        <v>588225</v>
      </c>
      <c r="H44" s="269">
        <f t="shared" si="1"/>
        <v>21250</v>
      </c>
      <c r="I44" s="270">
        <f t="shared" si="1"/>
        <v>16.890603170858355</v>
      </c>
      <c r="J44" s="270">
        <f t="shared" si="1"/>
        <v>-1.0277185048368978</v>
      </c>
      <c r="K44" s="268">
        <v>5</v>
      </c>
      <c r="L44" s="271">
        <f>SUM(L40:L43)</f>
        <v>4.1760912590556813</v>
      </c>
      <c r="M44" s="271">
        <f>SUM(M40:M43)</f>
        <v>4.5644287662060909</v>
      </c>
      <c r="N44" s="273"/>
      <c r="O44" s="266"/>
      <c r="P44" s="254"/>
    </row>
    <row r="45" spans="2:17" s="251" customFormat="1" ht="13.5" customHeight="1">
      <c r="B45" s="274" t="s">
        <v>257</v>
      </c>
      <c r="C45" s="275"/>
      <c r="D45" s="276"/>
      <c r="E45" s="274"/>
      <c r="F45" s="277"/>
      <c r="G45" s="275"/>
      <c r="H45" s="275"/>
      <c r="I45" s="275"/>
      <c r="J45" s="275"/>
      <c r="K45" s="274"/>
      <c r="L45" s="274"/>
      <c r="M45" s="278"/>
      <c r="N45" s="274"/>
    </row>
    <row r="46" spans="2:17" s="251" customFormat="1" ht="13.5" customHeight="1">
      <c r="B46" s="275"/>
      <c r="C46" s="275"/>
      <c r="D46" s="276"/>
      <c r="E46" s="274" t="s">
        <v>258</v>
      </c>
      <c r="F46" s="274"/>
      <c r="G46" s="274"/>
      <c r="H46" s="274"/>
      <c r="I46" s="274"/>
      <c r="J46" s="274"/>
      <c r="K46" s="274"/>
      <c r="L46" s="274"/>
      <c r="M46" s="278"/>
      <c r="N46" s="274"/>
    </row>
    <row r="47" spans="2:17" s="251" customFormat="1" ht="13.5" customHeight="1">
      <c r="B47" s="274"/>
      <c r="C47" s="274"/>
      <c r="D47" s="276"/>
      <c r="E47" s="279" t="s">
        <v>259</v>
      </c>
      <c r="F47" s="279" t="s">
        <v>260</v>
      </c>
      <c r="G47" s="279" t="s">
        <v>261</v>
      </c>
      <c r="H47" s="279" t="s">
        <v>262</v>
      </c>
      <c r="I47" s="279" t="s">
        <v>263</v>
      </c>
      <c r="J47" s="280" t="s">
        <v>264</v>
      </c>
      <c r="K47" s="678" t="s">
        <v>265</v>
      </c>
      <c r="L47" s="679"/>
      <c r="M47" s="278"/>
      <c r="N47" s="274"/>
      <c r="Q47" s="286"/>
    </row>
    <row r="48" spans="2:17" s="251" customFormat="1" ht="13.5" customHeight="1">
      <c r="B48" s="274"/>
      <c r="C48" s="274"/>
      <c r="D48" s="276"/>
      <c r="E48" s="279" t="s">
        <v>266</v>
      </c>
      <c r="F48" s="279" t="s">
        <v>267</v>
      </c>
      <c r="G48" s="273">
        <f>ROUNDDOWN((D43-D39)/20,1)</f>
        <v>-19.600000000000001</v>
      </c>
      <c r="H48" s="273"/>
      <c r="I48" s="273"/>
      <c r="J48" s="281"/>
      <c r="K48" s="281" t="s">
        <v>441</v>
      </c>
      <c r="L48" s="282"/>
      <c r="M48" s="278"/>
      <c r="N48" s="274"/>
      <c r="O48" s="33"/>
      <c r="P48" s="33"/>
      <c r="Q48" s="230"/>
    </row>
    <row r="49" spans="2:17" s="251" customFormat="1" ht="13.5" customHeight="1">
      <c r="B49" s="275"/>
      <c r="C49" s="275"/>
      <c r="D49" s="276"/>
      <c r="E49" s="279" t="s">
        <v>268</v>
      </c>
      <c r="F49" s="279" t="s">
        <v>269</v>
      </c>
      <c r="G49" s="273">
        <f>ROUNDDOWN(POWER(10,LOG10(D43/D39)/20)-1,5)</f>
        <v>-8.3999999999999995E-3</v>
      </c>
      <c r="H49" s="273"/>
      <c r="I49" s="273"/>
      <c r="J49" s="281"/>
      <c r="K49" s="281" t="s">
        <v>441</v>
      </c>
      <c r="L49" s="282"/>
      <c r="M49" s="278"/>
      <c r="N49" s="274"/>
      <c r="O49" s="59"/>
      <c r="P49" s="59"/>
      <c r="Q49" s="230"/>
    </row>
    <row r="50" spans="2:17" s="251" customFormat="1" ht="13.5" customHeight="1">
      <c r="B50" s="275"/>
      <c r="C50" s="275"/>
      <c r="D50" s="276"/>
      <c r="E50" s="279" t="s">
        <v>270</v>
      </c>
      <c r="F50" s="279" t="s">
        <v>271</v>
      </c>
      <c r="G50" s="273"/>
      <c r="H50" s="273">
        <f>ROUNDDOWN(E44/F44,0)</f>
        <v>-22</v>
      </c>
      <c r="I50" s="439">
        <f>ROUNDDOWN(D44/K44,0)</f>
        <v>2394</v>
      </c>
      <c r="J50" s="281"/>
      <c r="K50" s="281" t="s">
        <v>441</v>
      </c>
      <c r="L50" s="282"/>
      <c r="M50" s="278"/>
      <c r="N50" s="274"/>
      <c r="O50" s="59"/>
      <c r="P50" s="59"/>
      <c r="Q50" s="230"/>
    </row>
    <row r="51" spans="2:17" s="251" customFormat="1" ht="13.5" customHeight="1">
      <c r="B51" s="275"/>
      <c r="C51" s="275"/>
      <c r="D51" s="276"/>
      <c r="E51" s="279" t="s">
        <v>272</v>
      </c>
      <c r="F51" s="279" t="s">
        <v>273</v>
      </c>
      <c r="G51" s="273"/>
      <c r="H51" s="273">
        <f>ROUNDDOWN(((G44-(K44*G44))/((F44*F44)-(K44*H44)))/1000,5)</f>
        <v>5.3780000000000001E-2</v>
      </c>
      <c r="I51" s="273">
        <f>ROUNDDOWN(E44/F44,5)</f>
        <v>-22.3</v>
      </c>
      <c r="J51" s="440">
        <f>ROUNDDOWN(((F44*G44)-(D44*H44))/((F44*F44)-(K44*H44)),0)</f>
        <v>2454</v>
      </c>
      <c r="K51" s="281" t="s">
        <v>441</v>
      </c>
      <c r="L51" s="282"/>
      <c r="M51" s="278"/>
      <c r="N51" s="274"/>
      <c r="O51" s="59"/>
      <c r="P51" s="59"/>
      <c r="Q51" s="230"/>
    </row>
    <row r="52" spans="2:17" s="251" customFormat="1" ht="13.5" customHeight="1">
      <c r="B52" s="275"/>
      <c r="C52" s="275"/>
      <c r="D52" s="276"/>
      <c r="E52" s="279" t="s">
        <v>274</v>
      </c>
      <c r="F52" s="279" t="s">
        <v>275</v>
      </c>
      <c r="G52" s="273"/>
      <c r="H52" s="439">
        <f>ROUNDDOWN(POWER(10,(I44/K44)),0)</f>
        <v>2388</v>
      </c>
      <c r="I52" s="273">
        <f>ROUNDDOWN(POWER(10,(J44/F44)),5)</f>
        <v>0.99056999999999995</v>
      </c>
      <c r="J52" s="281"/>
      <c r="K52" s="281" t="s">
        <v>441</v>
      </c>
      <c r="L52" s="282"/>
      <c r="M52" s="278"/>
      <c r="N52" s="274"/>
      <c r="O52" s="59"/>
      <c r="P52" s="59"/>
    </row>
    <row r="53" spans="2:17" s="251" customFormat="1" ht="13.5" customHeight="1">
      <c r="B53" s="254"/>
      <c r="C53" s="254"/>
      <c r="D53" s="252"/>
      <c r="E53" s="253"/>
      <c r="F53" s="253"/>
      <c r="G53" s="254"/>
      <c r="H53" s="254"/>
      <c r="I53" s="254"/>
      <c r="J53" s="254"/>
      <c r="K53" s="285"/>
      <c r="L53" s="253"/>
      <c r="M53" s="284"/>
      <c r="O53" s="287"/>
      <c r="P53" s="287"/>
    </row>
    <row r="54" spans="2:17" s="251" customFormat="1" ht="13.5" customHeight="1">
      <c r="B54" s="672" t="s">
        <v>259</v>
      </c>
      <c r="C54" s="672"/>
      <c r="D54" s="680" t="s">
        <v>276</v>
      </c>
      <c r="E54" s="681"/>
      <c r="F54" s="672" t="s">
        <v>451</v>
      </c>
      <c r="G54" s="672"/>
      <c r="H54" s="682" t="s">
        <v>452</v>
      </c>
      <c r="I54" s="683"/>
      <c r="J54" s="682" t="s">
        <v>453</v>
      </c>
      <c r="K54" s="683"/>
      <c r="L54" s="682" t="s">
        <v>454</v>
      </c>
      <c r="M54" s="683"/>
    </row>
    <row r="55" spans="2:17" s="251" customFormat="1" ht="13.5" customHeight="1">
      <c r="B55" s="672" t="s">
        <v>266</v>
      </c>
      <c r="C55" s="672"/>
      <c r="D55" s="673" t="s">
        <v>277</v>
      </c>
      <c r="E55" s="674"/>
      <c r="F55" s="675">
        <f>ROUNDDOWN(D43+G48*5,0)</f>
        <v>2040</v>
      </c>
      <c r="G55" s="675"/>
      <c r="H55" s="675">
        <f>ROUNDDOWN(D43+G48*10,0)</f>
        <v>1942</v>
      </c>
      <c r="I55" s="675"/>
      <c r="J55" s="675">
        <f>ROUNDDOWN(D43+G48*15,0)</f>
        <v>1844</v>
      </c>
      <c r="K55" s="675"/>
      <c r="L55" s="675">
        <f>ROUNDDOWN(D43+G48*20,0)</f>
        <v>1746</v>
      </c>
      <c r="M55" s="675"/>
    </row>
    <row r="56" spans="2:17" s="251" customFormat="1" ht="13.5" customHeight="1">
      <c r="B56" s="672" t="s">
        <v>268</v>
      </c>
      <c r="C56" s="672"/>
      <c r="D56" s="673" t="s">
        <v>278</v>
      </c>
      <c r="E56" s="674"/>
      <c r="F56" s="675">
        <f>ROUNDDOWN(D43*POWER(1+G49,5),0)</f>
        <v>2049</v>
      </c>
      <c r="G56" s="675"/>
      <c r="H56" s="675">
        <f>ROUNDDOWN(D43*POWER(1+G49,10),0)</f>
        <v>1965</v>
      </c>
      <c r="I56" s="675"/>
      <c r="J56" s="675">
        <f>ROUNDDOWN(D43*POWER(1+G49,15),0)</f>
        <v>1883</v>
      </c>
      <c r="K56" s="675"/>
      <c r="L56" s="675">
        <f>ROUNDDOWN(D43*POWER(1+G49,20),0)</f>
        <v>1806</v>
      </c>
      <c r="M56" s="675"/>
    </row>
    <row r="57" spans="2:17" s="251" customFormat="1" ht="13.5" customHeight="1">
      <c r="B57" s="672" t="s">
        <v>279</v>
      </c>
      <c r="C57" s="672"/>
      <c r="D57" s="673" t="s">
        <v>280</v>
      </c>
      <c r="E57" s="674"/>
      <c r="F57" s="675">
        <f>ROUNDDOWN(H50*15+I50,0)</f>
        <v>2064</v>
      </c>
      <c r="G57" s="675"/>
      <c r="H57" s="675">
        <f>ROUNDDOWN(H50*20+I50,0)</f>
        <v>1954</v>
      </c>
      <c r="I57" s="675"/>
      <c r="J57" s="675">
        <f>ROUNDDOWN(H50*25+I50,0)</f>
        <v>1844</v>
      </c>
      <c r="K57" s="675"/>
      <c r="L57" s="675">
        <f>ROUNDDOWN(H50*30+I50,0)</f>
        <v>1734</v>
      </c>
      <c r="M57" s="675"/>
    </row>
    <row r="58" spans="2:17" s="251" customFormat="1" ht="13.5" customHeight="1">
      <c r="B58" s="672" t="s">
        <v>281</v>
      </c>
      <c r="C58" s="672"/>
      <c r="D58" s="673" t="s">
        <v>282</v>
      </c>
      <c r="E58" s="674"/>
      <c r="F58" s="675">
        <f>ROUNDDOWN(H51*F44+I51*15+J51,0)</f>
        <v>2132</v>
      </c>
      <c r="G58" s="675"/>
      <c r="H58" s="675">
        <f>ROUNDDOWN(H51*F44+I51*20+J51,0)</f>
        <v>2021</v>
      </c>
      <c r="I58" s="675"/>
      <c r="J58" s="675">
        <f>ROUNDDOWN(H51*F44+I51*25+J51,0)</f>
        <v>1909</v>
      </c>
      <c r="K58" s="675"/>
      <c r="L58" s="675">
        <f>ROUNDDOWN(H51*F44+I51*30+J51,0)</f>
        <v>1798</v>
      </c>
      <c r="M58" s="675"/>
    </row>
    <row r="59" spans="2:17" s="251" customFormat="1" ht="13.5" customHeight="1">
      <c r="B59" s="672" t="s">
        <v>274</v>
      </c>
      <c r="C59" s="672"/>
      <c r="D59" s="673" t="s">
        <v>283</v>
      </c>
      <c r="E59" s="674"/>
      <c r="F59" s="675">
        <f>ROUNDDOWN(H52*POWER(I52,15),0)</f>
        <v>2071</v>
      </c>
      <c r="G59" s="675"/>
      <c r="H59" s="675">
        <f>ROUNDDOWN(H52*POWER(I52,20),0)</f>
        <v>1975</v>
      </c>
      <c r="I59" s="675"/>
      <c r="J59" s="675">
        <f>ROUNDDOWN(H52*POWER(I52,25),0)</f>
        <v>1884</v>
      </c>
      <c r="K59" s="675"/>
      <c r="L59" s="675">
        <f>ROUNDDOWN(H52*POWER(I52,30),0)</f>
        <v>1797</v>
      </c>
      <c r="M59" s="675"/>
    </row>
    <row r="60" spans="2:17" s="251" customFormat="1" ht="13.5" customHeight="1">
      <c r="B60" s="254"/>
      <c r="C60" s="254"/>
      <c r="D60" s="252" t="s">
        <v>442</v>
      </c>
      <c r="E60" s="253"/>
      <c r="F60" s="253"/>
      <c r="G60" s="254"/>
      <c r="H60" s="254"/>
      <c r="I60" s="254"/>
      <c r="J60" s="254"/>
      <c r="K60" s="285"/>
      <c r="L60" s="253"/>
      <c r="M60" s="284"/>
    </row>
    <row r="61" spans="2:17" s="251" customFormat="1" ht="13.5" customHeight="1">
      <c r="B61" s="254"/>
      <c r="C61" s="254"/>
      <c r="D61" s="276" t="s">
        <v>380</v>
      </c>
      <c r="E61" s="253"/>
      <c r="F61" s="253"/>
      <c r="G61" s="254"/>
      <c r="H61" s="254"/>
      <c r="I61" s="254"/>
      <c r="J61" s="254"/>
      <c r="K61" s="285"/>
      <c r="L61" s="253"/>
      <c r="M61" s="284"/>
    </row>
    <row r="62" spans="2:17" s="251" customFormat="1" ht="13.5" customHeight="1">
      <c r="B62" s="254"/>
      <c r="C62" s="254"/>
      <c r="D62" s="252" t="s">
        <v>443</v>
      </c>
      <c r="E62" s="253"/>
      <c r="F62" s="253"/>
      <c r="G62" s="254"/>
      <c r="H62" s="254"/>
      <c r="I62" s="254"/>
      <c r="J62" s="254"/>
      <c r="K62" s="285"/>
      <c r="L62" s="253"/>
      <c r="M62" s="284"/>
    </row>
    <row r="63" spans="2:17" s="251" customFormat="1" ht="13.5" customHeight="1"/>
    <row r="64" spans="2:17" s="251" customFormat="1" ht="13.5" customHeight="1"/>
    <row r="65" spans="2:16" s="251" customFormat="1" ht="13.5" customHeight="1"/>
    <row r="66" spans="2:16" s="251" customFormat="1" ht="13.5" customHeight="1"/>
    <row r="67" spans="2:16" s="251" customFormat="1" ht="13.5" customHeight="1"/>
    <row r="68" spans="2:16" s="251" customFormat="1" ht="13.5" customHeight="1"/>
    <row r="69" spans="2:16" s="251" customFormat="1" ht="13.5" customHeight="1"/>
    <row r="70" spans="2:16" s="251" customFormat="1" ht="13.5" customHeight="1"/>
    <row r="71" spans="2:16" s="251" customFormat="1" ht="13.5" customHeight="1">
      <c r="B71" s="251" t="s">
        <v>351</v>
      </c>
      <c r="D71" s="252"/>
      <c r="E71" s="253"/>
      <c r="F71" s="253"/>
      <c r="G71" s="254"/>
      <c r="H71" s="254"/>
      <c r="I71" s="254"/>
      <c r="J71" s="254"/>
      <c r="K71" s="254"/>
      <c r="L71" s="254"/>
    </row>
    <row r="72" spans="2:16" s="259" customFormat="1" ht="13.5" customHeight="1">
      <c r="B72" s="251"/>
      <c r="C72" s="251"/>
      <c r="D72" s="255" t="s">
        <v>240</v>
      </c>
      <c r="E72" s="251"/>
      <c r="F72" s="251"/>
      <c r="G72" s="251"/>
      <c r="H72" s="251"/>
      <c r="I72" s="251"/>
      <c r="J72" s="251"/>
      <c r="K72" s="251"/>
      <c r="L72" s="251"/>
      <c r="M72" s="251"/>
      <c r="N72" s="251"/>
      <c r="O72" s="251"/>
      <c r="P72" s="251"/>
    </row>
    <row r="73" spans="2:16" s="251" customFormat="1" ht="13.5" customHeight="1">
      <c r="B73" s="256" t="s">
        <v>241</v>
      </c>
      <c r="C73" s="257" t="s">
        <v>242</v>
      </c>
      <c r="D73" s="256" t="s">
        <v>243</v>
      </c>
      <c r="E73" s="256" t="s">
        <v>244</v>
      </c>
      <c r="F73" s="256" t="s">
        <v>245</v>
      </c>
      <c r="G73" s="256" t="s">
        <v>246</v>
      </c>
      <c r="H73" s="256" t="s">
        <v>247</v>
      </c>
      <c r="I73" s="256" t="s">
        <v>248</v>
      </c>
      <c r="J73" s="256" t="s">
        <v>249</v>
      </c>
      <c r="K73" s="256" t="s">
        <v>250</v>
      </c>
      <c r="L73" s="256" t="s">
        <v>251</v>
      </c>
      <c r="M73" s="256" t="s">
        <v>245</v>
      </c>
      <c r="N73" s="258" t="s">
        <v>252</v>
      </c>
      <c r="O73" s="258" t="s">
        <v>253</v>
      </c>
      <c r="P73" s="288"/>
    </row>
    <row r="74" spans="2:16" s="251" customFormat="1" ht="13.5" customHeight="1">
      <c r="B74" s="260" t="s">
        <v>100</v>
      </c>
      <c r="C74" s="261">
        <v>-10</v>
      </c>
      <c r="D74" s="262">
        <v>2662</v>
      </c>
      <c r="E74" s="262">
        <f>C74*D74</f>
        <v>-26620</v>
      </c>
      <c r="F74" s="262">
        <f>C74*C74</f>
        <v>100</v>
      </c>
      <c r="G74" s="262">
        <f>F74*D74</f>
        <v>266200</v>
      </c>
      <c r="H74" s="262">
        <f>F74*F74</f>
        <v>10000</v>
      </c>
      <c r="I74" s="263">
        <f>LOG10(D74)</f>
        <v>3.4252080511386565</v>
      </c>
      <c r="J74" s="263">
        <f>C74*I74</f>
        <v>-34.252080511386566</v>
      </c>
      <c r="K74" s="261">
        <v>0</v>
      </c>
      <c r="L74" s="264"/>
      <c r="M74" s="264"/>
      <c r="N74" s="265">
        <f>ROUNDDOWN(((D74/D78)*100),2)</f>
        <v>71.94</v>
      </c>
      <c r="O74" s="266"/>
      <c r="P74" s="254"/>
    </row>
    <row r="75" spans="2:16" s="251" customFormat="1" ht="13.5" customHeight="1">
      <c r="B75" s="260" t="s">
        <v>108</v>
      </c>
      <c r="C75" s="261">
        <v>-5</v>
      </c>
      <c r="D75" s="262">
        <v>2913</v>
      </c>
      <c r="E75" s="262">
        <f>C75*D75</f>
        <v>-14565</v>
      </c>
      <c r="F75" s="262">
        <f>C75*C75</f>
        <v>25</v>
      </c>
      <c r="G75" s="262">
        <f>F75*D75</f>
        <v>72825</v>
      </c>
      <c r="H75" s="262">
        <f>F75*F75</f>
        <v>625</v>
      </c>
      <c r="I75" s="263">
        <f>LOG10(D75)</f>
        <v>3.4643404846276673</v>
      </c>
      <c r="J75" s="263">
        <f>C75*I75</f>
        <v>-17.321702423138337</v>
      </c>
      <c r="K75" s="261">
        <v>5</v>
      </c>
      <c r="L75" s="264">
        <f>LOG10(K75)</f>
        <v>0.69897000433601886</v>
      </c>
      <c r="M75" s="264">
        <f>L75*L75</f>
        <v>0.4885590669614942</v>
      </c>
      <c r="N75" s="265">
        <f>ROUNDDOWN(((D75/D78)*100),2)</f>
        <v>78.72</v>
      </c>
      <c r="O75" s="265">
        <f>(N75-N74)</f>
        <v>6.7800000000000011</v>
      </c>
      <c r="P75" s="289"/>
    </row>
    <row r="76" spans="2:16" s="251" customFormat="1" ht="13.5" customHeight="1">
      <c r="B76" s="267" t="s">
        <v>254</v>
      </c>
      <c r="C76" s="261">
        <v>0</v>
      </c>
      <c r="D76" s="262">
        <v>3210</v>
      </c>
      <c r="E76" s="262">
        <f>C76*D76</f>
        <v>0</v>
      </c>
      <c r="F76" s="262">
        <f>C76*C76</f>
        <v>0</v>
      </c>
      <c r="G76" s="262">
        <f>F76*D76</f>
        <v>0</v>
      </c>
      <c r="H76" s="262">
        <f>F76*F76</f>
        <v>0</v>
      </c>
      <c r="I76" s="263">
        <f>LOG10(D76)</f>
        <v>3.5065050324048719</v>
      </c>
      <c r="J76" s="263">
        <f>C76*I76</f>
        <v>0</v>
      </c>
      <c r="K76" s="261">
        <v>10</v>
      </c>
      <c r="L76" s="264">
        <f>LOG10(K76)</f>
        <v>1</v>
      </c>
      <c r="M76" s="264">
        <f>L76*L76</f>
        <v>1</v>
      </c>
      <c r="N76" s="265">
        <f>ROUNDDOWN(((D76/D78)*100),2)</f>
        <v>86.75</v>
      </c>
      <c r="O76" s="265">
        <f>(N76-N74)</f>
        <v>14.810000000000002</v>
      </c>
      <c r="P76" s="289"/>
    </row>
    <row r="77" spans="2:16" s="251" customFormat="1" ht="13.5" customHeight="1">
      <c r="B77" s="267" t="s">
        <v>255</v>
      </c>
      <c r="C77" s="261">
        <v>5</v>
      </c>
      <c r="D77" s="262">
        <v>3564</v>
      </c>
      <c r="E77" s="262">
        <f>C77*D77</f>
        <v>17820</v>
      </c>
      <c r="F77" s="262">
        <f>C77*C77</f>
        <v>25</v>
      </c>
      <c r="G77" s="262">
        <f>F77*D77</f>
        <v>89100</v>
      </c>
      <c r="H77" s="262">
        <f>F77*F77</f>
        <v>625</v>
      </c>
      <c r="I77" s="263">
        <f>LOG10(D77)</f>
        <v>3.5519376953648374</v>
      </c>
      <c r="J77" s="263">
        <f>C77*I77</f>
        <v>17.759688476824188</v>
      </c>
      <c r="K77" s="261">
        <v>15</v>
      </c>
      <c r="L77" s="264">
        <f>LOG10(K77)</f>
        <v>1.1760912590556813</v>
      </c>
      <c r="M77" s="264">
        <f>L77*L77</f>
        <v>1.3831906496271777</v>
      </c>
      <c r="N77" s="265">
        <f>ROUNDDOWN(((D77/D78)*100),2)</f>
        <v>96.32</v>
      </c>
      <c r="O77" s="265">
        <f>(N77-N74)</f>
        <v>24.379999999999995</v>
      </c>
      <c r="P77" s="289"/>
    </row>
    <row r="78" spans="2:16" s="251" customFormat="1" ht="13.5" customHeight="1">
      <c r="B78" s="267" t="s">
        <v>440</v>
      </c>
      <c r="C78" s="268">
        <v>10</v>
      </c>
      <c r="D78" s="269">
        <v>3700</v>
      </c>
      <c r="E78" s="269">
        <f>C78*D78</f>
        <v>37000</v>
      </c>
      <c r="F78" s="269">
        <f>C78*C78</f>
        <v>100</v>
      </c>
      <c r="G78" s="269">
        <f>F78*D78</f>
        <v>370000</v>
      </c>
      <c r="H78" s="269">
        <f>F78*F78</f>
        <v>10000</v>
      </c>
      <c r="I78" s="270">
        <f>LOG10(D78)</f>
        <v>3.568201724066995</v>
      </c>
      <c r="J78" s="270">
        <f>C78*I78</f>
        <v>35.68201724066995</v>
      </c>
      <c r="K78" s="268">
        <v>20</v>
      </c>
      <c r="L78" s="271">
        <f>LOG10(K78)</f>
        <v>1.3010299956639813</v>
      </c>
      <c r="M78" s="271">
        <f>L78*L78</f>
        <v>1.6926790496174191</v>
      </c>
      <c r="N78" s="272">
        <v>100</v>
      </c>
      <c r="O78" s="265">
        <f>(N78-N74)</f>
        <v>28.060000000000002</v>
      </c>
      <c r="P78" s="289"/>
    </row>
    <row r="79" spans="2:16" s="251" customFormat="1" ht="13.5" customHeight="1">
      <c r="B79" s="279" t="s">
        <v>256</v>
      </c>
      <c r="C79" s="268"/>
      <c r="D79" s="269">
        <f>SUM(D74:D78)</f>
        <v>16049</v>
      </c>
      <c r="E79" s="269">
        <f t="shared" ref="E79:J79" si="2">SUM(E74:E78)</f>
        <v>13635</v>
      </c>
      <c r="F79" s="269">
        <f t="shared" si="2"/>
        <v>250</v>
      </c>
      <c r="G79" s="269">
        <f t="shared" si="2"/>
        <v>798125</v>
      </c>
      <c r="H79" s="269">
        <f t="shared" si="2"/>
        <v>21250</v>
      </c>
      <c r="I79" s="270">
        <f t="shared" si="2"/>
        <v>17.516192987603027</v>
      </c>
      <c r="J79" s="270">
        <f t="shared" si="2"/>
        <v>1.867922782969238</v>
      </c>
      <c r="K79" s="268">
        <v>5</v>
      </c>
      <c r="L79" s="271">
        <f>SUM(L75:L78)</f>
        <v>4.1760912590556813</v>
      </c>
      <c r="M79" s="271">
        <f>SUM(M75:M78)</f>
        <v>4.5644287662060909</v>
      </c>
      <c r="N79" s="273"/>
      <c r="O79" s="266"/>
      <c r="P79" s="254"/>
    </row>
    <row r="80" spans="2:16" s="251" customFormat="1" ht="13.5" customHeight="1">
      <c r="B80" s="274" t="s">
        <v>257</v>
      </c>
      <c r="C80" s="275"/>
      <c r="D80" s="276"/>
      <c r="E80" s="274"/>
      <c r="F80" s="277"/>
      <c r="G80" s="275"/>
      <c r="H80" s="275"/>
      <c r="I80" s="275"/>
      <c r="J80" s="275"/>
      <c r="K80" s="274"/>
      <c r="L80" s="274"/>
      <c r="M80" s="278"/>
      <c r="N80" s="274"/>
    </row>
    <row r="81" spans="2:17" s="251" customFormat="1" ht="13.5" customHeight="1">
      <c r="B81" s="275"/>
      <c r="C81" s="275"/>
      <c r="D81" s="276"/>
      <c r="E81" s="274" t="s">
        <v>258</v>
      </c>
      <c r="F81" s="274"/>
      <c r="G81" s="274"/>
      <c r="H81" s="274"/>
      <c r="I81" s="274"/>
      <c r="J81" s="274"/>
      <c r="K81" s="274"/>
      <c r="L81" s="274"/>
      <c r="M81" s="278"/>
      <c r="N81" s="274"/>
    </row>
    <row r="82" spans="2:17" s="251" customFormat="1" ht="13.5" customHeight="1">
      <c r="B82" s="274"/>
      <c r="C82" s="274"/>
      <c r="D82" s="276"/>
      <c r="E82" s="279" t="s">
        <v>259</v>
      </c>
      <c r="F82" s="279" t="s">
        <v>260</v>
      </c>
      <c r="G82" s="279" t="s">
        <v>261</v>
      </c>
      <c r="H82" s="279" t="s">
        <v>262</v>
      </c>
      <c r="I82" s="279" t="s">
        <v>263</v>
      </c>
      <c r="J82" s="280" t="s">
        <v>264</v>
      </c>
      <c r="K82" s="678" t="s">
        <v>265</v>
      </c>
      <c r="L82" s="679"/>
      <c r="M82" s="278"/>
      <c r="N82" s="274"/>
      <c r="Q82" s="286"/>
    </row>
    <row r="83" spans="2:17" s="251" customFormat="1" ht="13.5" customHeight="1">
      <c r="B83" s="274"/>
      <c r="C83" s="274"/>
      <c r="D83" s="276"/>
      <c r="E83" s="279" t="s">
        <v>266</v>
      </c>
      <c r="F83" s="279" t="s">
        <v>267</v>
      </c>
      <c r="G83" s="273">
        <f>ROUNDDOWN((D78-D74)/20,1)</f>
        <v>51.9</v>
      </c>
      <c r="H83" s="273"/>
      <c r="I83" s="273"/>
      <c r="J83" s="281"/>
      <c r="K83" s="281" t="s">
        <v>441</v>
      </c>
      <c r="L83" s="282"/>
      <c r="M83" s="278"/>
      <c r="N83" s="274"/>
      <c r="O83" s="33"/>
      <c r="P83" s="33"/>
      <c r="Q83" s="230"/>
    </row>
    <row r="84" spans="2:17" s="251" customFormat="1" ht="13.5" customHeight="1">
      <c r="B84" s="275"/>
      <c r="C84" s="275"/>
      <c r="D84" s="276"/>
      <c r="E84" s="279" t="s">
        <v>268</v>
      </c>
      <c r="F84" s="279" t="s">
        <v>269</v>
      </c>
      <c r="G84" s="273">
        <f>ROUNDDOWN(POWER(10,LOG10(D78/D74)/20)-1,5)</f>
        <v>1.6590000000000001E-2</v>
      </c>
      <c r="H84" s="273"/>
      <c r="I84" s="273"/>
      <c r="J84" s="281"/>
      <c r="K84" s="281" t="s">
        <v>441</v>
      </c>
      <c r="L84" s="282"/>
      <c r="M84" s="278"/>
      <c r="N84" s="274"/>
      <c r="O84" s="59"/>
      <c r="P84" s="59"/>
      <c r="Q84" s="230"/>
    </row>
    <row r="85" spans="2:17" s="251" customFormat="1" ht="13.5" customHeight="1">
      <c r="B85" s="275"/>
      <c r="C85" s="275"/>
      <c r="D85" s="276"/>
      <c r="E85" s="279" t="s">
        <v>270</v>
      </c>
      <c r="F85" s="279" t="s">
        <v>271</v>
      </c>
      <c r="G85" s="273"/>
      <c r="H85" s="273">
        <f>ROUNDDOWN(E79/F79,0)</f>
        <v>54</v>
      </c>
      <c r="I85" s="439">
        <f>ROUNDDOWN(D79/K79,0)</f>
        <v>3209</v>
      </c>
      <c r="J85" s="281"/>
      <c r="K85" s="281" t="s">
        <v>441</v>
      </c>
      <c r="L85" s="282"/>
      <c r="M85" s="278"/>
      <c r="N85" s="274"/>
      <c r="O85" s="59"/>
      <c r="P85" s="59"/>
      <c r="Q85" s="230"/>
    </row>
    <row r="86" spans="2:17" s="251" customFormat="1" ht="13.5" customHeight="1">
      <c r="B86" s="275"/>
      <c r="C86" s="275"/>
      <c r="D86" s="276"/>
      <c r="E86" s="279" t="s">
        <v>272</v>
      </c>
      <c r="F86" s="279" t="s">
        <v>273</v>
      </c>
      <c r="G86" s="273"/>
      <c r="H86" s="273">
        <f>ROUNDDOWN(((G79-(K79*G79))/((F79*F79)-(K79*H79)))/1000,5)</f>
        <v>7.2969999999999993E-2</v>
      </c>
      <c r="I86" s="273">
        <f>ROUNDDOWN(E79/F79,5)</f>
        <v>54.54</v>
      </c>
      <c r="J86" s="440">
        <f>ROUNDDOWN(((F79*G79)-(D79*H79))/((F79*F79)-(K79*H79)),0)</f>
        <v>3234</v>
      </c>
      <c r="K86" s="281" t="s">
        <v>441</v>
      </c>
      <c r="L86" s="282"/>
      <c r="M86" s="278"/>
      <c r="N86" s="274"/>
      <c r="O86" s="59"/>
      <c r="P86" s="59"/>
      <c r="Q86" s="230"/>
    </row>
    <row r="87" spans="2:17" s="251" customFormat="1" ht="13.5" customHeight="1">
      <c r="B87" s="275"/>
      <c r="C87" s="275"/>
      <c r="D87" s="276"/>
      <c r="E87" s="279" t="s">
        <v>274</v>
      </c>
      <c r="F87" s="279" t="s">
        <v>275</v>
      </c>
      <c r="G87" s="273"/>
      <c r="H87" s="439">
        <f>ROUNDDOWN(POWER(10,(I79/K79)),0)</f>
        <v>3185</v>
      </c>
      <c r="I87" s="273">
        <f>ROUNDDOWN(POWER(10,(J79/F79)),5)</f>
        <v>1.01735</v>
      </c>
      <c r="J87" s="281"/>
      <c r="K87" s="281" t="s">
        <v>441</v>
      </c>
      <c r="L87" s="282"/>
      <c r="M87" s="278"/>
      <c r="N87" s="274"/>
      <c r="O87" s="59"/>
      <c r="P87" s="59"/>
    </row>
    <row r="88" spans="2:17" s="251" customFormat="1" ht="13.5" customHeight="1">
      <c r="B88" s="254"/>
      <c r="C88" s="254"/>
      <c r="D88" s="252"/>
      <c r="E88" s="253"/>
      <c r="F88" s="253"/>
      <c r="G88" s="254"/>
      <c r="H88" s="254"/>
      <c r="I88" s="254"/>
      <c r="J88" s="254"/>
      <c r="K88" s="285"/>
      <c r="L88" s="253"/>
      <c r="M88" s="284"/>
      <c r="O88" s="287"/>
      <c r="P88" s="287"/>
    </row>
    <row r="89" spans="2:17" s="251" customFormat="1" ht="13.5" customHeight="1">
      <c r="B89" s="672" t="s">
        <v>259</v>
      </c>
      <c r="C89" s="672"/>
      <c r="D89" s="680" t="s">
        <v>276</v>
      </c>
      <c r="E89" s="681"/>
      <c r="F89" s="672" t="s">
        <v>451</v>
      </c>
      <c r="G89" s="672"/>
      <c r="H89" s="682" t="s">
        <v>452</v>
      </c>
      <c r="I89" s="683"/>
      <c r="J89" s="682" t="s">
        <v>453</v>
      </c>
      <c r="K89" s="683"/>
      <c r="L89" s="682" t="s">
        <v>454</v>
      </c>
      <c r="M89" s="683"/>
    </row>
    <row r="90" spans="2:17" s="251" customFormat="1" ht="13.5" customHeight="1">
      <c r="B90" s="672" t="s">
        <v>266</v>
      </c>
      <c r="C90" s="672"/>
      <c r="D90" s="673" t="s">
        <v>277</v>
      </c>
      <c r="E90" s="674"/>
      <c r="F90" s="675">
        <f>ROUNDDOWN(D78+G83*5,0)</f>
        <v>3959</v>
      </c>
      <c r="G90" s="675"/>
      <c r="H90" s="676">
        <f>ROUNDDOWN(D78+G83*10,0)</f>
        <v>4219</v>
      </c>
      <c r="I90" s="677"/>
      <c r="J90" s="676">
        <f>ROUNDDOWN(D78+G83*15,0)</f>
        <v>4478</v>
      </c>
      <c r="K90" s="677"/>
      <c r="L90" s="676">
        <f>ROUNDDOWN(D78+G83*20,0)</f>
        <v>4738</v>
      </c>
      <c r="M90" s="677"/>
    </row>
    <row r="91" spans="2:17" s="251" customFormat="1" ht="13.5" customHeight="1">
      <c r="B91" s="672" t="s">
        <v>268</v>
      </c>
      <c r="C91" s="672"/>
      <c r="D91" s="673" t="s">
        <v>278</v>
      </c>
      <c r="E91" s="674"/>
      <c r="F91" s="675">
        <f>ROUNDDOWN(D78*POWER(1+G84,5),0)</f>
        <v>4017</v>
      </c>
      <c r="G91" s="675"/>
      <c r="H91" s="676">
        <f>ROUNDDOWN(D78*POWER(1+G84,10),0)</f>
        <v>4361</v>
      </c>
      <c r="I91" s="677"/>
      <c r="J91" s="676">
        <f>ROUNDDOWN(D78*POWER(1+G84,15),0)</f>
        <v>4735</v>
      </c>
      <c r="K91" s="677"/>
      <c r="L91" s="676">
        <f>ROUNDDOWN(D78*POWER(1+G84,20),0)</f>
        <v>5141</v>
      </c>
      <c r="M91" s="677"/>
    </row>
    <row r="92" spans="2:17" s="251" customFormat="1" ht="13.5" customHeight="1">
      <c r="B92" s="672" t="s">
        <v>279</v>
      </c>
      <c r="C92" s="672"/>
      <c r="D92" s="673" t="s">
        <v>280</v>
      </c>
      <c r="E92" s="674"/>
      <c r="F92" s="675">
        <f>ROUNDDOWN(H85*15+I85,0)</f>
        <v>4019</v>
      </c>
      <c r="G92" s="675"/>
      <c r="H92" s="676">
        <f>ROUNDDOWN(H85*20+I85,0)</f>
        <v>4289</v>
      </c>
      <c r="I92" s="677"/>
      <c r="J92" s="676">
        <f>ROUNDDOWN(H85*25+I85,0)</f>
        <v>4559</v>
      </c>
      <c r="K92" s="677"/>
      <c r="L92" s="676">
        <f>ROUNDDOWN(H85*30+I85,0)</f>
        <v>4829</v>
      </c>
      <c r="M92" s="677"/>
    </row>
    <row r="93" spans="2:17" s="251" customFormat="1" ht="13.5" customHeight="1">
      <c r="B93" s="672" t="s">
        <v>281</v>
      </c>
      <c r="C93" s="672"/>
      <c r="D93" s="673" t="s">
        <v>282</v>
      </c>
      <c r="E93" s="674"/>
      <c r="F93" s="675">
        <f>ROUNDDOWN(H86*F79+I86*15+J86,0)</f>
        <v>4070</v>
      </c>
      <c r="G93" s="675"/>
      <c r="H93" s="676">
        <f>ROUNDDOWN(H86*F79+I86*20+J86,0)</f>
        <v>4343</v>
      </c>
      <c r="I93" s="677"/>
      <c r="J93" s="676">
        <f>ROUNDDOWN(H86*F79+I86*25+J86,0)</f>
        <v>4615</v>
      </c>
      <c r="K93" s="677"/>
      <c r="L93" s="676">
        <f>ROUNDDOWN(H86*F79+I86*30+J86,0)</f>
        <v>4888</v>
      </c>
      <c r="M93" s="677"/>
    </row>
    <row r="94" spans="2:17" s="251" customFormat="1" ht="13.5" customHeight="1">
      <c r="B94" s="672" t="s">
        <v>274</v>
      </c>
      <c r="C94" s="672"/>
      <c r="D94" s="673" t="s">
        <v>283</v>
      </c>
      <c r="E94" s="674"/>
      <c r="F94" s="675">
        <f>ROUNDDOWN(H87*POWER(I87,15),0)</f>
        <v>4122</v>
      </c>
      <c r="G94" s="675"/>
      <c r="H94" s="676">
        <f>ROUNDDOWN(H87*POWER(I87,20),0)</f>
        <v>4492</v>
      </c>
      <c r="I94" s="677"/>
      <c r="J94" s="676">
        <f>ROUNDDOWN(H87*POWER(I87,25),0)</f>
        <v>4896</v>
      </c>
      <c r="K94" s="677"/>
      <c r="L94" s="676">
        <f>ROUNDDOWN(H87*POWER(I87,30),0)</f>
        <v>5336</v>
      </c>
      <c r="M94" s="677"/>
    </row>
    <row r="95" spans="2:17" s="251" customFormat="1" ht="13.5" customHeight="1">
      <c r="B95" s="254"/>
      <c r="C95" s="254"/>
      <c r="D95" s="252" t="s">
        <v>442</v>
      </c>
      <c r="E95" s="253"/>
      <c r="F95" s="253"/>
      <c r="G95" s="254"/>
      <c r="H95" s="254"/>
      <c r="I95" s="254"/>
      <c r="J95" s="254"/>
      <c r="K95" s="285"/>
      <c r="L95" s="253"/>
      <c r="M95" s="284"/>
    </row>
    <row r="96" spans="2:17" s="251" customFormat="1" ht="13.5" customHeight="1">
      <c r="B96" s="254"/>
      <c r="C96" s="254"/>
      <c r="D96" s="276" t="s">
        <v>380</v>
      </c>
      <c r="E96" s="253"/>
      <c r="F96" s="253"/>
      <c r="G96" s="254"/>
      <c r="H96" s="254"/>
      <c r="I96" s="254"/>
      <c r="J96" s="254"/>
      <c r="K96" s="285"/>
      <c r="L96" s="253"/>
      <c r="M96" s="284"/>
    </row>
    <row r="97" spans="2:16" ht="13.5" customHeight="1">
      <c r="B97" s="254"/>
      <c r="C97" s="254"/>
      <c r="D97" s="252" t="s">
        <v>443</v>
      </c>
      <c r="E97" s="253"/>
      <c r="F97" s="253"/>
      <c r="G97" s="254"/>
      <c r="H97" s="254"/>
      <c r="I97" s="254"/>
      <c r="J97" s="254"/>
      <c r="K97" s="285"/>
      <c r="L97" s="253"/>
      <c r="M97" s="284"/>
      <c r="N97" s="251"/>
      <c r="O97" s="251"/>
      <c r="P97" s="251"/>
    </row>
    <row r="98" spans="2:16" ht="18" customHeight="1">
      <c r="B98" s="1"/>
      <c r="C98" s="85"/>
      <c r="F98" s="1"/>
      <c r="P98" s="189"/>
    </row>
  </sheetData>
  <mergeCells count="111">
    <mergeCell ref="B20:C20"/>
    <mergeCell ref="D20:E20"/>
    <mergeCell ref="F20:G20"/>
    <mergeCell ref="H20:I20"/>
    <mergeCell ref="J20:K20"/>
    <mergeCell ref="L20:M20"/>
    <mergeCell ref="K12:L12"/>
    <mergeCell ref="B19:C19"/>
    <mergeCell ref="D19:E19"/>
    <mergeCell ref="F19:G19"/>
    <mergeCell ref="H19:I19"/>
    <mergeCell ref="J19:K19"/>
    <mergeCell ref="L19:M19"/>
    <mergeCell ref="B22:C22"/>
    <mergeCell ref="D22:E22"/>
    <mergeCell ref="F22:G22"/>
    <mergeCell ref="H22:I22"/>
    <mergeCell ref="J22:K22"/>
    <mergeCell ref="L22:M22"/>
    <mergeCell ref="B21:C21"/>
    <mergeCell ref="D21:E21"/>
    <mergeCell ref="F21:G21"/>
    <mergeCell ref="H21:I21"/>
    <mergeCell ref="J21:K21"/>
    <mergeCell ref="L21:M21"/>
    <mergeCell ref="B24:C24"/>
    <mergeCell ref="D24:E24"/>
    <mergeCell ref="F24:G24"/>
    <mergeCell ref="H24:I24"/>
    <mergeCell ref="J24:K24"/>
    <mergeCell ref="L24:M24"/>
    <mergeCell ref="B23:C23"/>
    <mergeCell ref="D23:E23"/>
    <mergeCell ref="F23:G23"/>
    <mergeCell ref="H23:I23"/>
    <mergeCell ref="J23:K23"/>
    <mergeCell ref="L23:M23"/>
    <mergeCell ref="B55:C55"/>
    <mergeCell ref="D55:E55"/>
    <mergeCell ref="F55:G55"/>
    <mergeCell ref="H55:I55"/>
    <mergeCell ref="J55:K55"/>
    <mergeCell ref="L55:M55"/>
    <mergeCell ref="K47:L47"/>
    <mergeCell ref="B54:C54"/>
    <mergeCell ref="D54:E54"/>
    <mergeCell ref="F54:G54"/>
    <mergeCell ref="H54:I54"/>
    <mergeCell ref="J54:K54"/>
    <mergeCell ref="L54:M54"/>
    <mergeCell ref="B57:C57"/>
    <mergeCell ref="D57:E57"/>
    <mergeCell ref="F57:G57"/>
    <mergeCell ref="H57:I57"/>
    <mergeCell ref="J57:K57"/>
    <mergeCell ref="L57:M57"/>
    <mergeCell ref="B56:C56"/>
    <mergeCell ref="D56:E56"/>
    <mergeCell ref="F56:G56"/>
    <mergeCell ref="H56:I56"/>
    <mergeCell ref="J56:K56"/>
    <mergeCell ref="L56:M56"/>
    <mergeCell ref="B59:C59"/>
    <mergeCell ref="D59:E59"/>
    <mergeCell ref="F59:G59"/>
    <mergeCell ref="H59:I59"/>
    <mergeCell ref="J59:K59"/>
    <mergeCell ref="L59:M59"/>
    <mergeCell ref="B58:C58"/>
    <mergeCell ref="D58:E58"/>
    <mergeCell ref="F58:G58"/>
    <mergeCell ref="H58:I58"/>
    <mergeCell ref="J58:K58"/>
    <mergeCell ref="L58:M58"/>
    <mergeCell ref="B90:C90"/>
    <mergeCell ref="D90:E90"/>
    <mergeCell ref="F90:G90"/>
    <mergeCell ref="H90:I90"/>
    <mergeCell ref="J90:K90"/>
    <mergeCell ref="L90:M90"/>
    <mergeCell ref="K82:L82"/>
    <mergeCell ref="B89:C89"/>
    <mergeCell ref="D89:E89"/>
    <mergeCell ref="F89:G89"/>
    <mergeCell ref="H89:I89"/>
    <mergeCell ref="J89:K89"/>
    <mergeCell ref="L89:M89"/>
    <mergeCell ref="B92:C92"/>
    <mergeCell ref="D92:E92"/>
    <mergeCell ref="F92:G92"/>
    <mergeCell ref="H92:I92"/>
    <mergeCell ref="J92:K92"/>
    <mergeCell ref="L92:M92"/>
    <mergeCell ref="B91:C91"/>
    <mergeCell ref="D91:E91"/>
    <mergeCell ref="F91:G91"/>
    <mergeCell ref="H91:I91"/>
    <mergeCell ref="J91:K91"/>
    <mergeCell ref="L91:M91"/>
    <mergeCell ref="B94:C94"/>
    <mergeCell ref="D94:E94"/>
    <mergeCell ref="F94:G94"/>
    <mergeCell ref="H94:I94"/>
    <mergeCell ref="J94:K94"/>
    <mergeCell ref="L94:M94"/>
    <mergeCell ref="B93:C93"/>
    <mergeCell ref="D93:E93"/>
    <mergeCell ref="F93:G93"/>
    <mergeCell ref="H93:I93"/>
    <mergeCell ref="J93:K93"/>
    <mergeCell ref="L93:M93"/>
  </mergeCells>
  <phoneticPr fontId="3"/>
  <pageMargins left="0.59055118110236227" right="0.59055118110236227" top="1.3779527559055118" bottom="0.78740157480314965" header="0.98425196850393704" footer="0.51181102362204722"/>
  <pageSetup paperSize="9" orientation="landscape" horizontalDpi="400" verticalDpi="400" r:id="rId1"/>
  <headerFooter alignWithMargins="0">
    <oddHeader>&amp;L&amp;"HGｺﾞｼｯｸM,ﾒﾃﾞｨｳﾑ"&amp;16産業大分類別就業者数&amp;R&amp;"HGｺﾞｼｯｸM,ﾒﾃﾞｨｳﾑ"
高森町　②産業　C0201-1産業大分類別就業者数</oddHeader>
    <oddFooter>&amp;R&amp;"HGｺﾞｼｯｸM,ﾒﾃﾞｨｳﾑ"C0201-1産業大分類別就業者数　&amp;P+4/7</oddFooter>
  </headerFooter>
</worksheet>
</file>

<file path=xl/worksheets/sheet5.xml><?xml version="1.0" encoding="utf-8"?>
<worksheet xmlns="http://schemas.openxmlformats.org/spreadsheetml/2006/main" xmlns:r="http://schemas.openxmlformats.org/officeDocument/2006/relationships">
  <dimension ref="B1:N54"/>
  <sheetViews>
    <sheetView showGridLines="0" topLeftCell="A10" zoomScaleNormal="100" workbookViewId="0">
      <selection activeCell="H30" sqref="H30"/>
    </sheetView>
  </sheetViews>
  <sheetFormatPr defaultColWidth="8.875" defaultRowHeight="18" customHeight="1"/>
  <cols>
    <col min="1" max="1" width="1.75" style="219" customWidth="1"/>
    <col min="2" max="2" width="28.625" style="183" customWidth="1"/>
    <col min="3" max="8" width="12.625" style="183" customWidth="1"/>
    <col min="9" max="10" width="12.625" style="219" customWidth="1"/>
    <col min="11" max="11" width="10.625" style="219" customWidth="1"/>
    <col min="12" max="16384" width="8.875" style="219"/>
  </cols>
  <sheetData>
    <row r="1" spans="2:14" ht="4.5" customHeight="1"/>
    <row r="2" spans="2:14" ht="18" customHeight="1">
      <c r="B2" s="652" t="s">
        <v>208</v>
      </c>
      <c r="C2" s="617" t="s">
        <v>70</v>
      </c>
      <c r="D2" s="618"/>
      <c r="E2" s="618"/>
      <c r="F2" s="623"/>
      <c r="G2" s="617" t="s">
        <v>75</v>
      </c>
      <c r="H2" s="618"/>
      <c r="I2" s="619"/>
      <c r="J2" s="620"/>
    </row>
    <row r="3" spans="2:14" ht="18" customHeight="1">
      <c r="B3" s="684"/>
      <c r="C3" s="621" t="s">
        <v>588</v>
      </c>
      <c r="D3" s="180"/>
      <c r="E3" s="180" t="s">
        <v>590</v>
      </c>
      <c r="F3" s="61"/>
      <c r="G3" s="621" t="s">
        <v>588</v>
      </c>
      <c r="H3" s="180"/>
      <c r="I3" s="180" t="s">
        <v>590</v>
      </c>
      <c r="J3" s="622"/>
    </row>
    <row r="4" spans="2:14" ht="18" customHeight="1">
      <c r="B4" s="684"/>
      <c r="C4" s="613" t="s">
        <v>174</v>
      </c>
      <c r="D4" s="185" t="s">
        <v>175</v>
      </c>
      <c r="E4" s="185" t="s">
        <v>174</v>
      </c>
      <c r="F4" s="611" t="s">
        <v>175</v>
      </c>
      <c r="G4" s="613" t="s">
        <v>174</v>
      </c>
      <c r="H4" s="185" t="s">
        <v>175</v>
      </c>
      <c r="I4" s="185" t="s">
        <v>174</v>
      </c>
      <c r="J4" s="15" t="s">
        <v>175</v>
      </c>
      <c r="K4" s="33"/>
      <c r="L4" s="33"/>
      <c r="M4" s="33"/>
      <c r="N4" s="33"/>
    </row>
    <row r="5" spans="2:14" s="33" customFormat="1" ht="18" customHeight="1">
      <c r="B5" s="614" t="s">
        <v>456</v>
      </c>
      <c r="C5" s="624" t="s">
        <v>179</v>
      </c>
      <c r="D5" s="223" t="s">
        <v>180</v>
      </c>
      <c r="E5" s="223" t="s">
        <v>179</v>
      </c>
      <c r="F5" s="222" t="s">
        <v>591</v>
      </c>
      <c r="G5" s="624" t="s">
        <v>179</v>
      </c>
      <c r="H5" s="223" t="s">
        <v>180</v>
      </c>
      <c r="I5" s="223" t="s">
        <v>179</v>
      </c>
      <c r="J5" s="225" t="s">
        <v>591</v>
      </c>
    </row>
    <row r="6" spans="2:14" s="33" customFormat="1" ht="18" customHeight="1">
      <c r="B6" s="615"/>
      <c r="C6" s="629">
        <v>673</v>
      </c>
      <c r="D6" s="420">
        <f>C6/$C$26*100</f>
        <v>9.1564625850340136</v>
      </c>
      <c r="E6" s="640">
        <v>437</v>
      </c>
      <c r="F6" s="417">
        <f>E6/$E$26*100</f>
        <v>6.9719208679004465</v>
      </c>
      <c r="G6" s="630">
        <v>830</v>
      </c>
      <c r="H6" s="420">
        <f>G6/$G$26*100</f>
        <v>11.249661154784494</v>
      </c>
      <c r="I6" s="643">
        <v>542</v>
      </c>
      <c r="J6" s="646">
        <f>I6/$I$26*100</f>
        <v>8.3371788955545298</v>
      </c>
    </row>
    <row r="7" spans="2:14" s="33" customFormat="1" ht="18" customHeight="1">
      <c r="B7" s="186" t="s">
        <v>210</v>
      </c>
      <c r="C7" s="625"/>
      <c r="D7" s="626"/>
      <c r="E7" s="641"/>
      <c r="F7" s="627"/>
      <c r="G7" s="628"/>
      <c r="H7" s="626"/>
      <c r="I7" s="644"/>
      <c r="J7" s="647"/>
    </row>
    <row r="8" spans="2:14" s="33" customFormat="1" ht="18" customHeight="1">
      <c r="B8" s="615"/>
      <c r="C8" s="629">
        <v>249</v>
      </c>
      <c r="D8" s="420">
        <f>C8/$C$26*100</f>
        <v>3.3877551020408161</v>
      </c>
      <c r="E8" s="640">
        <v>217</v>
      </c>
      <c r="F8" s="417">
        <f>E8/$E$26*100</f>
        <v>3.4620293554562855</v>
      </c>
      <c r="G8" s="630">
        <v>147</v>
      </c>
      <c r="H8" s="420">
        <f>G8/$G$26*100</f>
        <v>1.9924098671726755</v>
      </c>
      <c r="I8" s="643">
        <v>137</v>
      </c>
      <c r="J8" s="646">
        <f>I8/$I$26*100</f>
        <v>2.1073680972158129</v>
      </c>
    </row>
    <row r="9" spans="2:14" s="33" customFormat="1" ht="18" customHeight="1">
      <c r="B9" s="186" t="s">
        <v>211</v>
      </c>
      <c r="C9" s="625"/>
      <c r="D9" s="626"/>
      <c r="E9" s="641"/>
      <c r="F9" s="627"/>
      <c r="G9" s="628"/>
      <c r="H9" s="626"/>
      <c r="I9" s="644"/>
      <c r="J9" s="647"/>
    </row>
    <row r="10" spans="2:14" s="33" customFormat="1" ht="18" customHeight="1">
      <c r="B10" s="615"/>
      <c r="C10" s="629">
        <v>949</v>
      </c>
      <c r="D10" s="420">
        <f>C10/$C$26*100</f>
        <v>12.911564625850341</v>
      </c>
      <c r="E10" s="640">
        <v>573</v>
      </c>
      <c r="F10" s="417">
        <f>E10/$E$26*100</f>
        <v>9.141671984684109</v>
      </c>
      <c r="G10" s="630">
        <v>978</v>
      </c>
      <c r="H10" s="420">
        <f>G10/$G$26*100</f>
        <v>13.255624830577393</v>
      </c>
      <c r="I10" s="643">
        <v>732</v>
      </c>
      <c r="J10" s="646">
        <f>I10/$I$26*100</f>
        <v>11.259806183664052</v>
      </c>
    </row>
    <row r="11" spans="2:14" s="33" customFormat="1" ht="18" customHeight="1">
      <c r="B11" s="186" t="s">
        <v>212</v>
      </c>
      <c r="C11" s="625"/>
      <c r="D11" s="626"/>
      <c r="E11" s="641"/>
      <c r="F11" s="627"/>
      <c r="G11" s="628"/>
      <c r="H11" s="626"/>
      <c r="I11" s="644"/>
      <c r="J11" s="647"/>
    </row>
    <row r="12" spans="2:14" s="33" customFormat="1" ht="18" customHeight="1">
      <c r="B12" s="615"/>
      <c r="C12" s="629">
        <v>631</v>
      </c>
      <c r="D12" s="420">
        <f>C12/$C$26*100</f>
        <v>8.5850340136054406</v>
      </c>
      <c r="E12" s="640">
        <v>473</v>
      </c>
      <c r="F12" s="417">
        <f>E12/$E$26*100</f>
        <v>7.5462667517549455</v>
      </c>
      <c r="G12" s="630">
        <v>686</v>
      </c>
      <c r="H12" s="420">
        <f>G12/$G$26*100</f>
        <v>9.2979127134724848</v>
      </c>
      <c r="I12" s="643">
        <v>581</v>
      </c>
      <c r="J12" s="646">
        <f>I12/$I$26*100</f>
        <v>8.9370866020612212</v>
      </c>
    </row>
    <row r="13" spans="2:14" s="33" customFormat="1" ht="18" customHeight="1">
      <c r="B13" s="186" t="s">
        <v>457</v>
      </c>
      <c r="C13" s="625"/>
      <c r="D13" s="626"/>
      <c r="E13" s="641"/>
      <c r="F13" s="627"/>
      <c r="G13" s="628"/>
      <c r="H13" s="626"/>
      <c r="I13" s="644"/>
      <c r="J13" s="647"/>
    </row>
    <row r="14" spans="2:14" s="33" customFormat="1" ht="18" customHeight="1">
      <c r="B14" s="615"/>
      <c r="C14" s="629">
        <v>333</v>
      </c>
      <c r="D14" s="420">
        <f>C14/$C$26*100</f>
        <v>4.5306122448979593</v>
      </c>
      <c r="E14" s="640">
        <v>353</v>
      </c>
      <c r="F14" s="417">
        <f>E14/$E$26*100</f>
        <v>5.6317804722399485</v>
      </c>
      <c r="G14" s="630">
        <v>452</v>
      </c>
      <c r="H14" s="420">
        <f>G14/$G$26*100</f>
        <v>6.1263214963404717</v>
      </c>
      <c r="I14" s="643">
        <v>443</v>
      </c>
      <c r="J14" s="646">
        <f>I14/$I$26*100</f>
        <v>6.8143362559606206</v>
      </c>
    </row>
    <row r="15" spans="2:14" s="33" customFormat="1" ht="18" customHeight="1">
      <c r="B15" s="616" t="s">
        <v>215</v>
      </c>
      <c r="C15" s="625"/>
      <c r="D15" s="626"/>
      <c r="E15" s="641"/>
      <c r="F15" s="627"/>
      <c r="G15" s="628"/>
      <c r="H15" s="626"/>
      <c r="I15" s="644"/>
      <c r="J15" s="647"/>
    </row>
    <row r="16" spans="2:14" s="33" customFormat="1" ht="18" customHeight="1">
      <c r="B16" s="615"/>
      <c r="C16" s="629">
        <v>31</v>
      </c>
      <c r="D16" s="420">
        <f>C16/$C$26*100</f>
        <v>0.42176870748299317</v>
      </c>
      <c r="E16" s="640">
        <v>25</v>
      </c>
      <c r="F16" s="417">
        <f>E16/$E$26*100</f>
        <v>0.39885130823229098</v>
      </c>
      <c r="G16" s="630">
        <v>33</v>
      </c>
      <c r="H16" s="420">
        <f>G16/$G$26*100</f>
        <v>0.44727568446733534</v>
      </c>
      <c r="I16" s="643">
        <v>28</v>
      </c>
      <c r="J16" s="646">
        <f>I16/$I$26*100</f>
        <v>0.4307029687740348</v>
      </c>
    </row>
    <row r="17" spans="2:14" s="33" customFormat="1" ht="18" customHeight="1">
      <c r="B17" s="186" t="s">
        <v>216</v>
      </c>
      <c r="C17" s="625"/>
      <c r="D17" s="626"/>
      <c r="E17" s="641"/>
      <c r="F17" s="627"/>
      <c r="G17" s="628"/>
      <c r="H17" s="626"/>
      <c r="I17" s="644"/>
      <c r="J17" s="647"/>
    </row>
    <row r="18" spans="2:14" s="33" customFormat="1" ht="18" customHeight="1">
      <c r="B18" s="615"/>
      <c r="C18" s="629">
        <v>1783</v>
      </c>
      <c r="D18" s="420">
        <f>C18/$C$26*100</f>
        <v>24.258503401360546</v>
      </c>
      <c r="E18" s="640">
        <v>1786</v>
      </c>
      <c r="F18" s="417">
        <f>E18/$E$26*100</f>
        <v>28.493937460114871</v>
      </c>
      <c r="G18" s="630">
        <v>1661</v>
      </c>
      <c r="H18" s="420">
        <f>G18/$G$26*100</f>
        <v>22.512876118189212</v>
      </c>
      <c r="I18" s="643">
        <v>1656</v>
      </c>
      <c r="J18" s="646">
        <f>I18/$I$26*100</f>
        <v>25.473004153207203</v>
      </c>
      <c r="M18" s="1"/>
      <c r="N18" s="1"/>
    </row>
    <row r="19" spans="2:14" s="1" customFormat="1" ht="18" customHeight="1">
      <c r="B19" s="616" t="s">
        <v>217</v>
      </c>
      <c r="C19" s="625"/>
      <c r="D19" s="626"/>
      <c r="E19" s="641"/>
      <c r="F19" s="627"/>
      <c r="G19" s="628"/>
      <c r="H19" s="626"/>
      <c r="I19" s="644"/>
      <c r="J19" s="647"/>
      <c r="K19" s="33"/>
      <c r="L19" s="33"/>
      <c r="M19" s="33"/>
      <c r="N19" s="33"/>
    </row>
    <row r="20" spans="2:14" s="33" customFormat="1" ht="18" customHeight="1">
      <c r="B20" s="615"/>
      <c r="C20" s="629">
        <v>165</v>
      </c>
      <c r="D20" s="420">
        <f>C20/$C$26*100</f>
        <v>2.2448979591836733</v>
      </c>
      <c r="E20" s="640">
        <v>143</v>
      </c>
      <c r="F20" s="417">
        <f>E20/$E$26*100</f>
        <v>2.2814294830887047</v>
      </c>
      <c r="G20" s="630">
        <v>155</v>
      </c>
      <c r="H20" s="420">
        <f>G20/$G$26*100</f>
        <v>2.1008403361344539</v>
      </c>
      <c r="I20" s="643">
        <v>144</v>
      </c>
      <c r="J20" s="646">
        <f>I20/$I$26*100</f>
        <v>2.2150438394093217</v>
      </c>
      <c r="M20" s="1"/>
      <c r="N20" s="1"/>
    </row>
    <row r="21" spans="2:14" s="1" customFormat="1" ht="18" customHeight="1">
      <c r="B21" s="650" t="s">
        <v>593</v>
      </c>
      <c r="C21" s="625"/>
      <c r="D21" s="626"/>
      <c r="E21" s="641"/>
      <c r="F21" s="627"/>
      <c r="G21" s="628"/>
      <c r="H21" s="626"/>
      <c r="I21" s="644"/>
      <c r="J21" s="647"/>
      <c r="K21" s="33"/>
      <c r="L21" s="33"/>
      <c r="M21" s="33"/>
      <c r="N21" s="33"/>
    </row>
    <row r="22" spans="2:14" s="33" customFormat="1" ht="18" customHeight="1">
      <c r="B22" s="651"/>
      <c r="C22" s="629">
        <v>2530</v>
      </c>
      <c r="D22" s="420">
        <f>C22/$C$26*100</f>
        <v>34.42176870748299</v>
      </c>
      <c r="E22" s="640">
        <v>2257</v>
      </c>
      <c r="F22" s="417">
        <f>E22/$E$26*100</f>
        <v>36.00829610721123</v>
      </c>
      <c r="G22" s="630">
        <v>2410</v>
      </c>
      <c r="H22" s="420">
        <f>G22/$G$26*100</f>
        <v>32.664678774735698</v>
      </c>
      <c r="I22" s="643">
        <v>2214</v>
      </c>
      <c r="J22" s="646">
        <f>I22/$I$26*100</f>
        <v>34.056299030918318</v>
      </c>
      <c r="M22" s="1"/>
      <c r="N22" s="1"/>
    </row>
    <row r="23" spans="2:14" s="1" customFormat="1" ht="18" customHeight="1">
      <c r="B23" s="616" t="s">
        <v>218</v>
      </c>
      <c r="C23" s="625"/>
      <c r="D23" s="626"/>
      <c r="E23" s="641"/>
      <c r="F23" s="627"/>
      <c r="G23" s="628"/>
      <c r="H23" s="626"/>
      <c r="I23" s="644"/>
      <c r="J23" s="647"/>
      <c r="K23" s="33"/>
      <c r="L23" s="33"/>
      <c r="M23" s="33"/>
      <c r="N23" s="33"/>
    </row>
    <row r="24" spans="2:14" s="33" customFormat="1" ht="18" customHeight="1">
      <c r="B24" s="615"/>
      <c r="C24" s="629">
        <v>6</v>
      </c>
      <c r="D24" s="420">
        <f>C24/$C$26*100</f>
        <v>8.1632653061224497E-2</v>
      </c>
      <c r="E24" s="640">
        <v>4</v>
      </c>
      <c r="F24" s="417">
        <f>E24/$E$26*100</f>
        <v>6.381620931716657E-2</v>
      </c>
      <c r="G24" s="630">
        <v>26</v>
      </c>
      <c r="H24" s="420">
        <f>G24/$G$26*100</f>
        <v>0.35239902412577934</v>
      </c>
      <c r="I24" s="643">
        <v>24</v>
      </c>
      <c r="J24" s="646">
        <f>I24/$I$26*100</f>
        <v>0.36917397323488693</v>
      </c>
      <c r="M24" s="1"/>
      <c r="N24" s="1"/>
    </row>
    <row r="25" spans="2:14" s="1" customFormat="1" ht="18" customHeight="1">
      <c r="B25" s="46"/>
      <c r="C25" s="625"/>
      <c r="D25" s="626"/>
      <c r="E25" s="626"/>
      <c r="F25" s="627"/>
      <c r="G25" s="628"/>
      <c r="H25" s="626"/>
      <c r="I25" s="644"/>
      <c r="J25" s="647"/>
      <c r="K25" s="33"/>
      <c r="L25" s="33"/>
      <c r="M25" s="33"/>
      <c r="N25" s="33"/>
    </row>
    <row r="26" spans="2:14" s="33" customFormat="1" ht="18" customHeight="1">
      <c r="B26" s="612" t="s">
        <v>192</v>
      </c>
      <c r="C26" s="631">
        <f>SUM(C6:C24)</f>
        <v>7350</v>
      </c>
      <c r="D26" s="421">
        <f>C26/$C$26*100</f>
        <v>100</v>
      </c>
      <c r="E26" s="642">
        <f>SUM(E6:E24)</f>
        <v>6268</v>
      </c>
      <c r="F26" s="419">
        <f>E26/$E$26*100</f>
        <v>100</v>
      </c>
      <c r="G26" s="632">
        <f>SUM(G6:G24)</f>
        <v>7378</v>
      </c>
      <c r="H26" s="419">
        <f>G26/$G$26*100</f>
        <v>100</v>
      </c>
      <c r="I26" s="645">
        <f>SUM(I6:I24)</f>
        <v>6501</v>
      </c>
      <c r="J26" s="648">
        <f>I26/$I$26*100</f>
        <v>100</v>
      </c>
      <c r="K26" s="1"/>
      <c r="L26" s="1"/>
      <c r="M26" s="1"/>
      <c r="N26" s="1"/>
    </row>
    <row r="27" spans="2:14" s="1" customFormat="1" ht="18" customHeight="1">
      <c r="C27" s="183"/>
      <c r="D27" s="183"/>
      <c r="E27" s="183"/>
      <c r="F27" s="183"/>
      <c r="G27" s="183"/>
      <c r="H27" s="183"/>
      <c r="J27" s="95" t="s">
        <v>592</v>
      </c>
      <c r="K27" s="219"/>
      <c r="L27" s="219"/>
      <c r="M27" s="219"/>
      <c r="N27" s="219"/>
    </row>
    <row r="28" spans="2:14" ht="4.5" customHeight="1"/>
    <row r="29" spans="2:14" ht="18" customHeight="1">
      <c r="B29" s="664" t="s">
        <v>208</v>
      </c>
      <c r="C29" s="6" t="s">
        <v>207</v>
      </c>
      <c r="D29" s="7"/>
      <c r="E29" s="618"/>
      <c r="F29" s="634"/>
      <c r="G29" s="219"/>
      <c r="H29" s="219"/>
    </row>
    <row r="30" spans="2:14" ht="18" customHeight="1">
      <c r="B30" s="668"/>
      <c r="C30" s="633" t="s">
        <v>588</v>
      </c>
      <c r="D30" s="63"/>
      <c r="E30" s="180" t="s">
        <v>590</v>
      </c>
      <c r="F30" s="622"/>
      <c r="G30" s="219"/>
      <c r="H30" s="219"/>
    </row>
    <row r="31" spans="2:14" ht="18" customHeight="1">
      <c r="B31" s="668"/>
      <c r="C31" s="610" t="s">
        <v>174</v>
      </c>
      <c r="D31" s="185" t="s">
        <v>175</v>
      </c>
      <c r="E31" s="185" t="s">
        <v>174</v>
      </c>
      <c r="F31" s="15" t="s">
        <v>175</v>
      </c>
      <c r="G31" s="219"/>
      <c r="H31" s="219"/>
      <c r="K31" s="33"/>
      <c r="L31" s="33"/>
      <c r="M31" s="33"/>
      <c r="N31" s="33"/>
    </row>
    <row r="32" spans="2:14" s="33" customFormat="1" ht="18" customHeight="1">
      <c r="B32" s="236" t="s">
        <v>456</v>
      </c>
      <c r="C32" s="371" t="s">
        <v>179</v>
      </c>
      <c r="D32" s="222" t="s">
        <v>180</v>
      </c>
      <c r="E32" s="223" t="s">
        <v>179</v>
      </c>
      <c r="F32" s="225" t="s">
        <v>591</v>
      </c>
    </row>
    <row r="33" spans="2:14" s="33" customFormat="1" ht="18" customHeight="1">
      <c r="B33" s="232"/>
      <c r="C33" s="635">
        <v>853</v>
      </c>
      <c r="D33" s="417">
        <f>C33/$C$53*100</f>
        <v>11.506812356670713</v>
      </c>
      <c r="E33" s="640">
        <v>540</v>
      </c>
      <c r="F33" s="422">
        <f>E33/$E$53*100</f>
        <v>8.2129277566539933</v>
      </c>
    </row>
    <row r="34" spans="2:14" s="33" customFormat="1" ht="18" customHeight="1">
      <c r="B34" s="293" t="s">
        <v>210</v>
      </c>
      <c r="C34" s="636"/>
      <c r="D34" s="418"/>
      <c r="E34" s="641"/>
      <c r="F34" s="637"/>
    </row>
    <row r="35" spans="2:14" s="33" customFormat="1" ht="18" customHeight="1">
      <c r="B35" s="232"/>
      <c r="C35" s="635">
        <v>129</v>
      </c>
      <c r="D35" s="417">
        <f>C35/$C$53*100</f>
        <v>1.7401861594496155</v>
      </c>
      <c r="E35" s="640">
        <v>101</v>
      </c>
      <c r="F35" s="422">
        <f>E35/$E$53*100</f>
        <v>1.5361216730038023</v>
      </c>
    </row>
    <row r="36" spans="2:14" s="33" customFormat="1" ht="18" customHeight="1">
      <c r="B36" s="293" t="s">
        <v>211</v>
      </c>
      <c r="C36" s="636"/>
      <c r="D36" s="418"/>
      <c r="E36" s="641"/>
      <c r="F36" s="637"/>
    </row>
    <row r="37" spans="2:14" s="33" customFormat="1" ht="18" customHeight="1">
      <c r="B37" s="232"/>
      <c r="C37" s="635">
        <v>1030</v>
      </c>
      <c r="D37" s="417">
        <f>C37/$C$53*100</f>
        <v>13.894509645217862</v>
      </c>
      <c r="E37" s="640">
        <v>792</v>
      </c>
      <c r="F37" s="422">
        <f>E37/$E$53*100</f>
        <v>12.045627376425855</v>
      </c>
    </row>
    <row r="38" spans="2:14" s="33" customFormat="1" ht="18" customHeight="1">
      <c r="B38" s="293" t="s">
        <v>212</v>
      </c>
      <c r="C38" s="636"/>
      <c r="D38" s="418"/>
      <c r="E38" s="641"/>
      <c r="F38" s="637"/>
    </row>
    <row r="39" spans="2:14" s="33" customFormat="1" ht="18" customHeight="1">
      <c r="B39" s="232"/>
      <c r="C39" s="635">
        <v>711</v>
      </c>
      <c r="D39" s="417">
        <f>C39/$C$53*100</f>
        <v>9.5912585997571842</v>
      </c>
      <c r="E39" s="640">
        <v>632</v>
      </c>
      <c r="F39" s="422">
        <f>E39/$E$53*100</f>
        <v>9.6121673003802286</v>
      </c>
    </row>
    <row r="40" spans="2:14" s="33" customFormat="1" ht="18" customHeight="1">
      <c r="B40" s="293" t="s">
        <v>457</v>
      </c>
      <c r="C40" s="636"/>
      <c r="D40" s="418"/>
      <c r="E40" s="641"/>
      <c r="F40" s="637"/>
    </row>
    <row r="41" spans="2:14" s="33" customFormat="1" ht="18" customHeight="1">
      <c r="B41" s="232"/>
      <c r="C41" s="635">
        <v>568</v>
      </c>
      <c r="D41" s="417">
        <f>C41/$C$53*100</f>
        <v>7.6622150276541205</v>
      </c>
      <c r="E41" s="640">
        <v>547</v>
      </c>
      <c r="F41" s="422">
        <f>E41/$E$53*100</f>
        <v>8.3193916349809882</v>
      </c>
    </row>
    <row r="42" spans="2:14" s="33" customFormat="1" ht="18" customHeight="1">
      <c r="B42" s="231" t="s">
        <v>215</v>
      </c>
      <c r="C42" s="636"/>
      <c r="D42" s="418"/>
      <c r="E42" s="641"/>
      <c r="F42" s="637"/>
    </row>
    <row r="43" spans="2:14" s="33" customFormat="1" ht="18" customHeight="1">
      <c r="B43" s="232"/>
      <c r="C43" s="635">
        <v>46</v>
      </c>
      <c r="D43" s="417">
        <f>C43/$C$53*100</f>
        <v>0.62053149871846758</v>
      </c>
      <c r="E43" s="640">
        <v>36</v>
      </c>
      <c r="F43" s="422">
        <f>E43/$E$53*100</f>
        <v>0.54752851711026618</v>
      </c>
    </row>
    <row r="44" spans="2:14" s="33" customFormat="1" ht="18" customHeight="1">
      <c r="B44" s="293" t="s">
        <v>216</v>
      </c>
      <c r="C44" s="636"/>
      <c r="D44" s="418"/>
      <c r="E44" s="641"/>
      <c r="F44" s="637"/>
    </row>
    <row r="45" spans="2:14" s="33" customFormat="1" ht="18" customHeight="1">
      <c r="B45" s="232"/>
      <c r="C45" s="635">
        <v>1538</v>
      </c>
      <c r="D45" s="417">
        <f>C45/$C$53*100</f>
        <v>20.747335761500068</v>
      </c>
      <c r="E45" s="640">
        <v>1548</v>
      </c>
      <c r="F45" s="422">
        <f>E45/$E$53*100</f>
        <v>23.543726235741445</v>
      </c>
      <c r="K45" s="1"/>
      <c r="L45" s="1"/>
      <c r="M45" s="1"/>
      <c r="N45" s="1"/>
    </row>
    <row r="46" spans="2:14" s="1" customFormat="1" ht="18" customHeight="1">
      <c r="B46" s="231" t="s">
        <v>217</v>
      </c>
      <c r="C46" s="638"/>
      <c r="D46" s="418"/>
      <c r="E46" s="641"/>
      <c r="F46" s="637"/>
      <c r="K46" s="33"/>
      <c r="L46" s="33"/>
      <c r="M46" s="33"/>
      <c r="N46" s="33"/>
    </row>
    <row r="47" spans="2:14" s="33" customFormat="1" ht="18" customHeight="1">
      <c r="B47" s="232"/>
      <c r="C47" s="635">
        <v>168</v>
      </c>
      <c r="D47" s="417">
        <f>C47/$C$53*100</f>
        <v>2.2662889518413598</v>
      </c>
      <c r="E47" s="640">
        <v>147</v>
      </c>
      <c r="F47" s="422">
        <f>E47/$E$53*100</f>
        <v>2.2357414448669202</v>
      </c>
      <c r="K47" s="1"/>
      <c r="L47" s="1"/>
      <c r="M47" s="1"/>
      <c r="N47" s="1"/>
    </row>
    <row r="48" spans="2:14" s="1" customFormat="1" ht="18" customHeight="1">
      <c r="B48" s="231" t="s">
        <v>458</v>
      </c>
      <c r="C48" s="638"/>
      <c r="D48" s="418"/>
      <c r="E48" s="641"/>
      <c r="F48" s="637"/>
      <c r="K48" s="33"/>
      <c r="L48" s="33"/>
      <c r="M48" s="33"/>
      <c r="N48" s="33"/>
    </row>
    <row r="49" spans="2:14" s="33" customFormat="1" ht="18" customHeight="1">
      <c r="B49" s="232"/>
      <c r="C49" s="635">
        <v>2357</v>
      </c>
      <c r="D49" s="417">
        <f>C49/$C$53*100</f>
        <v>31.7954944017267</v>
      </c>
      <c r="E49" s="640">
        <v>2217</v>
      </c>
      <c r="F49" s="422">
        <f>E49/$E$53*100</f>
        <v>33.718631178707227</v>
      </c>
      <c r="K49" s="1"/>
      <c r="L49" s="1"/>
      <c r="M49" s="1"/>
      <c r="N49" s="1"/>
    </row>
    <row r="50" spans="2:14" s="1" customFormat="1" ht="18" customHeight="1">
      <c r="B50" s="231" t="s">
        <v>218</v>
      </c>
      <c r="C50" s="638"/>
      <c r="D50" s="418"/>
      <c r="E50" s="641"/>
      <c r="F50" s="637"/>
      <c r="K50" s="33"/>
      <c r="L50" s="33"/>
      <c r="M50" s="33"/>
      <c r="N50" s="33"/>
    </row>
    <row r="51" spans="2:14" s="33" customFormat="1" ht="18" customHeight="1">
      <c r="B51" s="232"/>
      <c r="C51" s="635">
        <v>13</v>
      </c>
      <c r="D51" s="417">
        <f>C51/$C$53*100</f>
        <v>0.17536759746391475</v>
      </c>
      <c r="E51" s="640">
        <v>15</v>
      </c>
      <c r="F51" s="422">
        <f>E51/$E$53*100</f>
        <v>0.22813688212927757</v>
      </c>
      <c r="K51" s="1"/>
      <c r="L51" s="1"/>
      <c r="M51" s="1"/>
      <c r="N51" s="1"/>
    </row>
    <row r="52" spans="2:14" s="1" customFormat="1" ht="18" customHeight="1">
      <c r="B52" s="294"/>
      <c r="C52" s="638"/>
      <c r="D52" s="418"/>
      <c r="E52" s="641"/>
      <c r="F52" s="637"/>
      <c r="K52" s="33"/>
      <c r="L52" s="33"/>
      <c r="M52" s="33"/>
      <c r="N52" s="33"/>
    </row>
    <row r="53" spans="2:14" s="33" customFormat="1" ht="18" customHeight="1">
      <c r="B53" s="609" t="s">
        <v>192</v>
      </c>
      <c r="C53" s="639">
        <f>SUM(C33:C51)</f>
        <v>7413</v>
      </c>
      <c r="D53" s="419">
        <f>C53/$C$53*100</f>
        <v>100</v>
      </c>
      <c r="E53" s="649">
        <f>SUM(E33:E51)</f>
        <v>6575</v>
      </c>
      <c r="F53" s="423">
        <f>E53/$E$53*100</f>
        <v>100</v>
      </c>
      <c r="K53" s="1"/>
      <c r="L53" s="1"/>
      <c r="M53" s="1"/>
      <c r="N53" s="1"/>
    </row>
    <row r="54" spans="2:14" s="1" customFormat="1" ht="18" customHeight="1">
      <c r="C54" s="183"/>
      <c r="D54" s="183"/>
      <c r="E54" s="183"/>
      <c r="F54" s="95" t="s">
        <v>592</v>
      </c>
      <c r="G54" s="183"/>
      <c r="H54" s="183"/>
      <c r="K54" s="219"/>
      <c r="L54" s="219"/>
      <c r="M54" s="219"/>
      <c r="N54" s="219"/>
    </row>
  </sheetData>
  <mergeCells count="2">
    <mergeCell ref="B2:B4"/>
    <mergeCell ref="B29:B31"/>
  </mergeCells>
  <phoneticPr fontId="3"/>
  <pageMargins left="0.59055118110236227" right="0.59055118110236227" top="1.3779527559055118" bottom="0.78740157480314965" header="0.98425196850393704" footer="0.51181102362204722"/>
  <pageSetup paperSize="9" orientation="landscape" horizontalDpi="400" verticalDpi="400" r:id="rId1"/>
  <headerFooter alignWithMargins="0">
    <oddHeader>&amp;L&amp;"HGｺﾞｼｯｸM,ﾒﾃﾞｨｳﾑ"&amp;16職業大分類別就業者数&amp;R&amp;"HGｺﾞｼｯｸM,ﾒﾃﾞｨｳﾑ"
高森町　②産業　C0201-2職業大分類別就業者数</oddHeader>
    <oddFooter>&amp;R&amp;"HGｺﾞｼｯｸM,ﾒﾃﾞｨｳﾑ"C0201-2職業大分類別就業者数　&amp;P/3</oddFooter>
  </headerFooter>
  <rowBreaks count="1" manualBreakCount="1">
    <brk id="27" max="16383" man="1"/>
  </rowBreaks>
  <ignoredErrors>
    <ignoredError sqref="D26:F26 H26 D53:F53" formula="1"/>
  </ignoredErrors>
</worksheet>
</file>

<file path=xl/worksheets/sheet6.xml><?xml version="1.0" encoding="utf-8"?>
<worksheet xmlns="http://schemas.openxmlformats.org/spreadsheetml/2006/main" xmlns:r="http://schemas.openxmlformats.org/officeDocument/2006/relationships">
  <dimension ref="B1:W76"/>
  <sheetViews>
    <sheetView showGridLines="0" topLeftCell="C1" zoomScaleNormal="100" workbookViewId="0">
      <selection activeCell="H38" sqref="H38"/>
    </sheetView>
  </sheetViews>
  <sheetFormatPr defaultColWidth="8.875" defaultRowHeight="18" customHeight="1"/>
  <cols>
    <col min="1" max="1" width="1.75" style="219" customWidth="1"/>
    <col min="2" max="2" width="25" style="183" customWidth="1"/>
    <col min="3" max="3" width="6.625" style="218" customWidth="1"/>
    <col min="4" max="4" width="7.125" style="218" customWidth="1"/>
    <col min="5" max="5" width="6.625" style="218" customWidth="1"/>
    <col min="6" max="6" width="7.125" style="183" customWidth="1"/>
    <col min="7" max="7" width="6.625" style="183" customWidth="1"/>
    <col min="8" max="8" width="7.125" style="183" customWidth="1"/>
    <col min="9" max="9" width="6.625" style="183" customWidth="1"/>
    <col min="10" max="10" width="7.125" style="183" customWidth="1"/>
    <col min="11" max="11" width="6.625" style="218" customWidth="1"/>
    <col min="12" max="12" width="7.125" style="218" customWidth="1"/>
    <col min="13" max="13" width="6.625" style="218" customWidth="1"/>
    <col min="14" max="14" width="7.125" style="183" customWidth="1"/>
    <col min="15" max="15" width="6.625" style="183" customWidth="1"/>
    <col min="16" max="16" width="7.125" style="183" customWidth="1"/>
    <col min="17" max="17" width="6.625" style="183" customWidth="1"/>
    <col min="18" max="18" width="7.125" style="183" customWidth="1"/>
    <col min="19" max="16384" width="8.875" style="219"/>
  </cols>
  <sheetData>
    <row r="1" spans="2:18" ht="4.5" customHeight="1">
      <c r="C1" s="132"/>
      <c r="D1" s="132"/>
      <c r="E1" s="132"/>
      <c r="K1" s="132"/>
      <c r="L1" s="132"/>
      <c r="M1" s="132"/>
    </row>
    <row r="2" spans="2:18" ht="16.5" customHeight="1">
      <c r="B2" s="664" t="s">
        <v>208</v>
      </c>
      <c r="C2" s="652" t="s">
        <v>287</v>
      </c>
      <c r="D2" s="685"/>
      <c r="E2" s="685"/>
      <c r="F2" s="685"/>
      <c r="G2" s="685"/>
      <c r="H2" s="685"/>
      <c r="I2" s="685"/>
      <c r="J2" s="686"/>
      <c r="K2" s="652" t="s">
        <v>438</v>
      </c>
      <c r="L2" s="685"/>
      <c r="M2" s="685"/>
      <c r="N2" s="685"/>
      <c r="O2" s="685"/>
      <c r="P2" s="685"/>
      <c r="Q2" s="685"/>
      <c r="R2" s="686"/>
    </row>
    <row r="3" spans="2:18" ht="16.5" customHeight="1">
      <c r="B3" s="668"/>
      <c r="C3" s="655" t="s">
        <v>353</v>
      </c>
      <c r="D3" s="687"/>
      <c r="E3" s="687"/>
      <c r="F3" s="688"/>
      <c r="G3" s="658" t="s">
        <v>589</v>
      </c>
      <c r="H3" s="687"/>
      <c r="I3" s="687"/>
      <c r="J3" s="689"/>
      <c r="K3" s="655" t="s">
        <v>353</v>
      </c>
      <c r="L3" s="687"/>
      <c r="M3" s="687"/>
      <c r="N3" s="688"/>
      <c r="O3" s="658" t="s">
        <v>352</v>
      </c>
      <c r="P3" s="687"/>
      <c r="Q3" s="687"/>
      <c r="R3" s="689"/>
    </row>
    <row r="4" spans="2:18" ht="16.5" customHeight="1">
      <c r="B4" s="669"/>
      <c r="C4" s="690" t="s">
        <v>174</v>
      </c>
      <c r="D4" s="691"/>
      <c r="E4" s="692" t="s">
        <v>175</v>
      </c>
      <c r="F4" s="691"/>
      <c r="G4" s="692" t="s">
        <v>174</v>
      </c>
      <c r="H4" s="691"/>
      <c r="I4" s="692" t="s">
        <v>175</v>
      </c>
      <c r="J4" s="693"/>
      <c r="K4" s="690" t="s">
        <v>174</v>
      </c>
      <c r="L4" s="691"/>
      <c r="M4" s="692" t="s">
        <v>175</v>
      </c>
      <c r="N4" s="691"/>
      <c r="O4" s="692" t="s">
        <v>174</v>
      </c>
      <c r="P4" s="691"/>
      <c r="Q4" s="692" t="s">
        <v>175</v>
      </c>
      <c r="R4" s="693"/>
    </row>
    <row r="5" spans="2:18" s="33" customFormat="1" ht="15" customHeight="1">
      <c r="B5" s="236" t="s">
        <v>288</v>
      </c>
      <c r="C5" s="371"/>
      <c r="D5" s="385" t="s">
        <v>179</v>
      </c>
      <c r="E5" s="224"/>
      <c r="F5" s="385" t="s">
        <v>180</v>
      </c>
      <c r="G5" s="222"/>
      <c r="H5" s="385" t="s">
        <v>179</v>
      </c>
      <c r="I5" s="222"/>
      <c r="J5" s="386" t="s">
        <v>180</v>
      </c>
      <c r="K5" s="371"/>
      <c r="L5" s="385" t="s">
        <v>179</v>
      </c>
      <c r="M5" s="224"/>
      <c r="N5" s="385" t="s">
        <v>180</v>
      </c>
      <c r="O5" s="222"/>
      <c r="P5" s="385" t="s">
        <v>179</v>
      </c>
      <c r="Q5" s="222"/>
      <c r="R5" s="386" t="s">
        <v>180</v>
      </c>
    </row>
    <row r="6" spans="2:18" s="33" customFormat="1" ht="15" customHeight="1">
      <c r="B6" s="232"/>
      <c r="C6" s="226"/>
      <c r="D6" s="405">
        <v>144</v>
      </c>
      <c r="E6" s="383"/>
      <c r="F6" s="409">
        <f>D6/$D$30*100</f>
        <v>2.0227560050568902</v>
      </c>
      <c r="G6" s="227"/>
      <c r="H6" s="405">
        <v>134</v>
      </c>
      <c r="I6" s="383"/>
      <c r="J6" s="409">
        <f>H6/$H$30*100</f>
        <v>2.2438044206296048</v>
      </c>
      <c r="K6" s="226"/>
      <c r="L6" s="405">
        <v>136</v>
      </c>
      <c r="M6" s="383"/>
      <c r="N6" s="409">
        <f>L6/$L$30*100</f>
        <v>1.9329164297896533</v>
      </c>
      <c r="O6" s="227"/>
      <c r="P6" s="405">
        <v>138</v>
      </c>
      <c r="Q6" s="383"/>
      <c r="R6" s="413">
        <f>P6/$P$30*100</f>
        <v>2.2935017450556758</v>
      </c>
    </row>
    <row r="7" spans="2:18" s="33" customFormat="1" ht="15" customHeight="1">
      <c r="B7" s="293" t="s">
        <v>289</v>
      </c>
      <c r="C7" s="24"/>
      <c r="D7" s="406"/>
      <c r="E7" s="242"/>
      <c r="F7" s="410"/>
      <c r="G7" s="404"/>
      <c r="H7" s="406"/>
      <c r="I7" s="242"/>
      <c r="J7" s="414"/>
      <c r="K7" s="24"/>
      <c r="L7" s="406"/>
      <c r="M7" s="242"/>
      <c r="N7" s="410"/>
      <c r="O7" s="404"/>
      <c r="P7" s="406"/>
      <c r="Q7" s="242"/>
      <c r="R7" s="414"/>
    </row>
    <row r="8" spans="2:18" s="33" customFormat="1" ht="15" customHeight="1">
      <c r="B8" s="232" t="s">
        <v>209</v>
      </c>
      <c r="C8" s="226"/>
      <c r="D8" s="405">
        <v>938</v>
      </c>
      <c r="E8" s="383"/>
      <c r="F8" s="409">
        <f>D8/$D$30*100</f>
        <v>13.176007866273354</v>
      </c>
      <c r="G8" s="227"/>
      <c r="H8" s="405">
        <v>602</v>
      </c>
      <c r="I8" s="383"/>
      <c r="J8" s="409">
        <f>H8/$H$30*100</f>
        <v>10.080375083724045</v>
      </c>
      <c r="K8" s="226"/>
      <c r="L8" s="405">
        <v>983</v>
      </c>
      <c r="M8" s="383"/>
      <c r="N8" s="409">
        <f>L8/$L$30*100</f>
        <v>13.971006253553156</v>
      </c>
      <c r="O8" s="227"/>
      <c r="P8" s="405">
        <v>678</v>
      </c>
      <c r="Q8" s="383"/>
      <c r="R8" s="413">
        <f>P8/$P$30*100</f>
        <v>11.26807379092571</v>
      </c>
    </row>
    <row r="9" spans="2:18" s="33" customFormat="1" ht="15" customHeight="1">
      <c r="B9" s="293" t="s">
        <v>211</v>
      </c>
      <c r="C9" s="24"/>
      <c r="D9" s="406"/>
      <c r="E9" s="242"/>
      <c r="F9" s="410"/>
      <c r="G9" s="404"/>
      <c r="H9" s="406"/>
      <c r="I9" s="242"/>
      <c r="J9" s="414"/>
      <c r="K9" s="24"/>
      <c r="L9" s="406"/>
      <c r="M9" s="242"/>
      <c r="N9" s="410"/>
      <c r="O9" s="404"/>
      <c r="P9" s="406"/>
      <c r="Q9" s="242"/>
      <c r="R9" s="414"/>
    </row>
    <row r="10" spans="2:18" s="33" customFormat="1" ht="15" customHeight="1">
      <c r="B10" s="232"/>
      <c r="C10" s="226"/>
      <c r="D10" s="405">
        <v>932</v>
      </c>
      <c r="E10" s="383"/>
      <c r="F10" s="409">
        <f>D10/$D$30*100</f>
        <v>13.09172636606265</v>
      </c>
      <c r="G10" s="227"/>
      <c r="H10" s="405">
        <v>688</v>
      </c>
      <c r="I10" s="383"/>
      <c r="J10" s="409">
        <f t="shared" ref="J10" si="0">H10/$H$30*100</f>
        <v>11.520428667113194</v>
      </c>
      <c r="K10" s="226"/>
      <c r="L10" s="405">
        <v>1062</v>
      </c>
      <c r="M10" s="383"/>
      <c r="N10" s="409">
        <f t="shared" ref="N10" si="1">L10/$L$30*100</f>
        <v>15.093803297328027</v>
      </c>
      <c r="O10" s="227"/>
      <c r="P10" s="405">
        <v>733</v>
      </c>
      <c r="Q10" s="383"/>
      <c r="R10" s="413">
        <f>P10/$P$30*100</f>
        <v>12.182150573375436</v>
      </c>
    </row>
    <row r="11" spans="2:18" s="33" customFormat="1" ht="15" customHeight="1">
      <c r="B11" s="293" t="s">
        <v>212</v>
      </c>
      <c r="C11" s="24"/>
      <c r="D11" s="406"/>
      <c r="E11" s="242"/>
      <c r="F11" s="410"/>
      <c r="G11" s="404"/>
      <c r="H11" s="406"/>
      <c r="I11" s="242"/>
      <c r="J11" s="414"/>
      <c r="K11" s="24"/>
      <c r="L11" s="406"/>
      <c r="M11" s="242"/>
      <c r="N11" s="410"/>
      <c r="O11" s="404"/>
      <c r="P11" s="406"/>
      <c r="Q11" s="242"/>
      <c r="R11" s="414"/>
    </row>
    <row r="12" spans="2:18" s="33" customFormat="1" ht="15" customHeight="1">
      <c r="B12" s="232"/>
      <c r="C12" s="226"/>
      <c r="D12" s="405">
        <v>731</v>
      </c>
      <c r="E12" s="383"/>
      <c r="F12" s="409">
        <f>D12/$D$30*100</f>
        <v>10.268296109004075</v>
      </c>
      <c r="G12" s="227"/>
      <c r="H12" s="405">
        <v>623</v>
      </c>
      <c r="I12" s="383"/>
      <c r="J12" s="409">
        <f t="shared" ref="J12" si="2">H12/$H$30*100</f>
        <v>10.432016075016746</v>
      </c>
      <c r="K12" s="226"/>
      <c r="L12" s="405">
        <v>635</v>
      </c>
      <c r="M12" s="383"/>
      <c r="N12" s="409">
        <f t="shared" ref="N12" si="3">L12/$L$30*100</f>
        <v>9.0250142126208068</v>
      </c>
      <c r="O12" s="227"/>
      <c r="P12" s="405">
        <v>577</v>
      </c>
      <c r="Q12" s="383"/>
      <c r="R12" s="413">
        <f>P12/$P$30*100</f>
        <v>9.5894964267907596</v>
      </c>
    </row>
    <row r="13" spans="2:18" s="33" customFormat="1" ht="15" customHeight="1">
      <c r="B13" s="293" t="s">
        <v>213</v>
      </c>
      <c r="C13" s="24"/>
      <c r="D13" s="406"/>
      <c r="E13" s="242"/>
      <c r="F13" s="410"/>
      <c r="G13" s="404"/>
      <c r="H13" s="406"/>
      <c r="I13" s="242"/>
      <c r="J13" s="414"/>
      <c r="K13" s="24"/>
      <c r="L13" s="406"/>
      <c r="M13" s="242"/>
      <c r="N13" s="410"/>
      <c r="O13" s="404"/>
      <c r="P13" s="406"/>
      <c r="Q13" s="242"/>
      <c r="R13" s="414"/>
    </row>
    <row r="14" spans="2:18" s="33" customFormat="1" ht="15" customHeight="1">
      <c r="B14" s="232" t="s">
        <v>214</v>
      </c>
      <c r="C14" s="226"/>
      <c r="D14" s="405">
        <v>702</v>
      </c>
      <c r="E14" s="383"/>
      <c r="F14" s="409">
        <f>D14/$D$30*100</f>
        <v>9.8609355246523389</v>
      </c>
      <c r="G14" s="227"/>
      <c r="H14" s="405">
        <v>584</v>
      </c>
      <c r="I14" s="383"/>
      <c r="J14" s="409">
        <f t="shared" ref="J14" si="4">H14/$H$30*100</f>
        <v>9.7789685197588749</v>
      </c>
      <c r="K14" s="226"/>
      <c r="L14" s="405">
        <v>717</v>
      </c>
      <c r="M14" s="383"/>
      <c r="N14" s="409">
        <f t="shared" ref="N14" si="5">L14/$L$30*100</f>
        <v>10.19044911881751</v>
      </c>
      <c r="O14" s="227"/>
      <c r="P14" s="405">
        <v>616</v>
      </c>
      <c r="Q14" s="383"/>
      <c r="R14" s="413">
        <f>P14/$P$30*100</f>
        <v>10.237659963436929</v>
      </c>
    </row>
    <row r="15" spans="2:18" s="33" customFormat="1" ht="15" customHeight="1">
      <c r="B15" s="293" t="s">
        <v>215</v>
      </c>
      <c r="C15" s="24"/>
      <c r="D15" s="406"/>
      <c r="E15" s="242"/>
      <c r="F15" s="410"/>
      <c r="G15" s="404"/>
      <c r="H15" s="406"/>
      <c r="I15" s="242"/>
      <c r="J15" s="414"/>
      <c r="K15" s="24"/>
      <c r="L15" s="406"/>
      <c r="M15" s="242"/>
      <c r="N15" s="410"/>
      <c r="O15" s="404"/>
      <c r="P15" s="406"/>
      <c r="Q15" s="242"/>
      <c r="R15" s="414"/>
    </row>
    <row r="16" spans="2:18" s="33" customFormat="1" ht="15" customHeight="1">
      <c r="B16" s="232"/>
      <c r="C16" s="226"/>
      <c r="D16" s="405">
        <v>49</v>
      </c>
      <c r="E16" s="383"/>
      <c r="F16" s="409">
        <f>D16/$D$30*100</f>
        <v>0.68829891838741397</v>
      </c>
      <c r="G16" s="227"/>
      <c r="H16" s="405">
        <v>46</v>
      </c>
      <c r="I16" s="383"/>
      <c r="J16" s="409">
        <f t="shared" ref="J16" si="6">H16/$H$30*100</f>
        <v>0.77026121902210321</v>
      </c>
      <c r="K16" s="226"/>
      <c r="L16" s="405">
        <v>54</v>
      </c>
      <c r="M16" s="383"/>
      <c r="N16" s="409">
        <f t="shared" ref="N16" si="7">L16/$L$30*100</f>
        <v>0.76748152359295052</v>
      </c>
      <c r="O16" s="227"/>
      <c r="P16" s="405">
        <v>57</v>
      </c>
      <c r="Q16" s="383"/>
      <c r="R16" s="413">
        <f>P16/$P$30*100</f>
        <v>0.94731593817517035</v>
      </c>
    </row>
    <row r="17" spans="2:20" s="33" customFormat="1" ht="15" customHeight="1">
      <c r="B17" s="293" t="s">
        <v>292</v>
      </c>
      <c r="C17" s="24"/>
      <c r="D17" s="406"/>
      <c r="E17" s="242"/>
      <c r="F17" s="410"/>
      <c r="G17" s="404"/>
      <c r="H17" s="406"/>
      <c r="I17" s="242"/>
      <c r="J17" s="414"/>
      <c r="K17" s="24"/>
      <c r="L17" s="406"/>
      <c r="M17" s="242"/>
      <c r="N17" s="410"/>
      <c r="O17" s="404"/>
      <c r="P17" s="406"/>
      <c r="Q17" s="242"/>
      <c r="R17" s="414"/>
    </row>
    <row r="18" spans="2:20" s="33" customFormat="1" ht="15" customHeight="1">
      <c r="B18" s="232"/>
      <c r="C18" s="226"/>
      <c r="D18" s="405">
        <v>1190</v>
      </c>
      <c r="E18" s="383"/>
      <c r="F18" s="409">
        <f>D18/$D$30*100</f>
        <v>16.715830875122911</v>
      </c>
      <c r="G18" s="227"/>
      <c r="H18" s="405">
        <v>1201</v>
      </c>
      <c r="I18" s="383"/>
      <c r="J18" s="409">
        <f t="shared" ref="J18" si="8">H18/$H$30*100</f>
        <v>20.110515740120562</v>
      </c>
      <c r="K18" s="226"/>
      <c r="L18" s="405">
        <v>1167</v>
      </c>
      <c r="M18" s="383"/>
      <c r="N18" s="409">
        <f t="shared" ref="N18" si="9">L18/$L$30*100</f>
        <v>16.586128482092096</v>
      </c>
      <c r="O18" s="227"/>
      <c r="P18" s="405">
        <v>1171</v>
      </c>
      <c r="Q18" s="383"/>
      <c r="R18" s="413">
        <f>P18/$P$30*100</f>
        <v>19.461525677247799</v>
      </c>
    </row>
    <row r="19" spans="2:20" s="33" customFormat="1" ht="15" customHeight="1">
      <c r="B19" s="293" t="s">
        <v>293</v>
      </c>
      <c r="C19" s="228"/>
      <c r="D19" s="406"/>
      <c r="E19" s="242"/>
      <c r="F19" s="410"/>
      <c r="G19" s="404"/>
      <c r="H19" s="406"/>
      <c r="I19" s="242"/>
      <c r="J19" s="414"/>
      <c r="K19" s="228"/>
      <c r="L19" s="406"/>
      <c r="M19" s="242"/>
      <c r="N19" s="410"/>
      <c r="O19" s="404"/>
      <c r="P19" s="406"/>
      <c r="Q19" s="242"/>
      <c r="R19" s="414"/>
    </row>
    <row r="20" spans="2:20" s="33" customFormat="1" ht="15" customHeight="1">
      <c r="B20" s="232"/>
      <c r="C20" s="226"/>
      <c r="D20" s="405">
        <v>1447</v>
      </c>
      <c r="E20" s="383"/>
      <c r="F20" s="409">
        <f>D20/$D$30*100</f>
        <v>20.325888467481388</v>
      </c>
      <c r="G20" s="227"/>
      <c r="H20" s="405">
        <v>1214</v>
      </c>
      <c r="I20" s="383"/>
      <c r="J20" s="409">
        <f t="shared" ref="J20" si="10">H20/$H$30*100</f>
        <v>20.328198258539853</v>
      </c>
      <c r="K20" s="226"/>
      <c r="L20" s="405">
        <v>1349</v>
      </c>
      <c r="M20" s="383"/>
      <c r="N20" s="409">
        <f t="shared" ref="N20" si="11">L20/$L$30*100</f>
        <v>19.172825469016487</v>
      </c>
      <c r="O20" s="227"/>
      <c r="P20" s="405">
        <v>1216</v>
      </c>
      <c r="Q20" s="383"/>
      <c r="R20" s="413">
        <f>P20/$P$30*100</f>
        <v>20.209406681070302</v>
      </c>
    </row>
    <row r="21" spans="2:20" s="1" customFormat="1" ht="15" customHeight="1">
      <c r="B21" s="293" t="s">
        <v>290</v>
      </c>
      <c r="C21" s="233"/>
      <c r="D21" s="407"/>
      <c r="E21" s="242"/>
      <c r="F21" s="410"/>
      <c r="G21" s="404"/>
      <c r="H21" s="407"/>
      <c r="I21" s="242"/>
      <c r="J21" s="414"/>
      <c r="K21" s="233"/>
      <c r="L21" s="407"/>
      <c r="M21" s="242"/>
      <c r="N21" s="410"/>
      <c r="O21" s="404"/>
      <c r="P21" s="407"/>
      <c r="Q21" s="242"/>
      <c r="R21" s="414"/>
    </row>
    <row r="22" spans="2:20" s="33" customFormat="1" ht="15" customHeight="1">
      <c r="B22" s="232" t="s">
        <v>214</v>
      </c>
      <c r="C22" s="226"/>
      <c r="D22" s="405">
        <v>206</v>
      </c>
      <c r="E22" s="383"/>
      <c r="F22" s="409">
        <f>D22/$D$30*100</f>
        <v>2.8936648405674954</v>
      </c>
      <c r="G22" s="227"/>
      <c r="H22" s="405">
        <v>197</v>
      </c>
      <c r="I22" s="383"/>
      <c r="J22" s="409">
        <f t="shared" ref="J22" si="12">H22/$H$30*100</f>
        <v>3.2987273945077029</v>
      </c>
      <c r="K22" s="226"/>
      <c r="L22" s="405">
        <v>185</v>
      </c>
      <c r="M22" s="383"/>
      <c r="N22" s="409">
        <f t="shared" ref="N22" si="13">L22/$L$30*100</f>
        <v>2.6293348493462196</v>
      </c>
      <c r="O22" s="227"/>
      <c r="P22" s="405">
        <v>194</v>
      </c>
      <c r="Q22" s="383"/>
      <c r="R22" s="413">
        <f>P22/$P$30*100</f>
        <v>3.2241981053681235</v>
      </c>
    </row>
    <row r="23" spans="2:20" s="1" customFormat="1" ht="15" customHeight="1">
      <c r="B23" s="293" t="s">
        <v>294</v>
      </c>
      <c r="C23" s="233"/>
      <c r="D23" s="407"/>
      <c r="E23" s="242"/>
      <c r="F23" s="410"/>
      <c r="G23" s="404"/>
      <c r="H23" s="407"/>
      <c r="I23" s="242"/>
      <c r="J23" s="414"/>
      <c r="K23" s="233"/>
      <c r="L23" s="407"/>
      <c r="M23" s="242"/>
      <c r="N23" s="410"/>
      <c r="O23" s="404"/>
      <c r="P23" s="407"/>
      <c r="Q23" s="242"/>
      <c r="R23" s="414"/>
    </row>
    <row r="24" spans="2:20" s="33" customFormat="1" ht="15" customHeight="1">
      <c r="B24" s="232"/>
      <c r="C24" s="226"/>
      <c r="D24" s="405">
        <v>351</v>
      </c>
      <c r="E24" s="383"/>
      <c r="F24" s="409">
        <f>D24/$D$30*100</f>
        <v>4.9304677623261695</v>
      </c>
      <c r="G24" s="227"/>
      <c r="H24" s="405">
        <v>286</v>
      </c>
      <c r="I24" s="383"/>
      <c r="J24" s="409">
        <f t="shared" ref="J24" si="14">H24/$H$30*100</f>
        <v>4.7890154052243803</v>
      </c>
      <c r="K24" s="226"/>
      <c r="L24" s="405">
        <v>330</v>
      </c>
      <c r="M24" s="383"/>
      <c r="N24" s="409">
        <f t="shared" ref="N24" si="15">L24/$L$30*100</f>
        <v>4.6901648664013651</v>
      </c>
      <c r="O24" s="227"/>
      <c r="P24" s="405">
        <v>253</v>
      </c>
      <c r="Q24" s="383"/>
      <c r="R24" s="413">
        <f>P24/$P$30*100</f>
        <v>4.2047531992687386</v>
      </c>
    </row>
    <row r="25" spans="2:20" s="33" customFormat="1" ht="15" customHeight="1">
      <c r="B25" s="293" t="s">
        <v>291</v>
      </c>
      <c r="C25" s="228"/>
      <c r="D25" s="406"/>
      <c r="E25" s="242"/>
      <c r="F25" s="411"/>
      <c r="G25" s="229"/>
      <c r="H25" s="406"/>
      <c r="I25" s="242"/>
      <c r="J25" s="414"/>
      <c r="K25" s="228"/>
      <c r="L25" s="406"/>
      <c r="M25" s="242"/>
      <c r="N25" s="410"/>
      <c r="O25" s="229"/>
      <c r="P25" s="406"/>
      <c r="Q25" s="242"/>
      <c r="R25" s="415"/>
    </row>
    <row r="26" spans="2:20" s="33" customFormat="1" ht="15" customHeight="1">
      <c r="B26" s="232" t="s">
        <v>295</v>
      </c>
      <c r="C26" s="226"/>
      <c r="D26" s="405">
        <v>409</v>
      </c>
      <c r="E26" s="383"/>
      <c r="F26" s="409">
        <f>D26/$D$30*100</f>
        <v>5.7451889310296389</v>
      </c>
      <c r="G26" s="227"/>
      <c r="H26" s="405">
        <v>370</v>
      </c>
      <c r="I26" s="383"/>
      <c r="J26" s="409">
        <f t="shared" ref="J26" si="16">H26/$H$30*100</f>
        <v>6.1955793703951771</v>
      </c>
      <c r="K26" s="226"/>
      <c r="L26" s="405">
        <v>375</v>
      </c>
      <c r="M26" s="383"/>
      <c r="N26" s="409">
        <f t="shared" ref="N26" si="17">L26/$L$30*100</f>
        <v>5.3297328027288229</v>
      </c>
      <c r="O26" s="227"/>
      <c r="P26" s="405">
        <v>342</v>
      </c>
      <c r="Q26" s="383"/>
      <c r="R26" s="413">
        <f>P26/$P$30*100</f>
        <v>5.6838956290510225</v>
      </c>
    </row>
    <row r="27" spans="2:20" s="1" customFormat="1" ht="15" customHeight="1">
      <c r="B27" s="293" t="s">
        <v>296</v>
      </c>
      <c r="C27" s="233"/>
      <c r="D27" s="407"/>
      <c r="E27" s="242"/>
      <c r="F27" s="410"/>
      <c r="G27" s="404"/>
      <c r="H27" s="407"/>
      <c r="I27" s="242"/>
      <c r="J27" s="414"/>
      <c r="K27" s="233"/>
      <c r="L27" s="407"/>
      <c r="M27" s="242"/>
      <c r="N27" s="410"/>
      <c r="O27" s="404"/>
      <c r="P27" s="407"/>
      <c r="Q27" s="242"/>
      <c r="R27" s="414"/>
    </row>
    <row r="28" spans="2:20" s="33" customFormat="1" ht="15" customHeight="1">
      <c r="B28" s="232"/>
      <c r="C28" s="226"/>
      <c r="D28" s="405">
        <v>20</v>
      </c>
      <c r="E28" s="383"/>
      <c r="F28" s="409">
        <f>D28/$D$30*100</f>
        <v>0.28093833403567919</v>
      </c>
      <c r="G28" s="227"/>
      <c r="H28" s="405">
        <v>27</v>
      </c>
      <c r="I28" s="383"/>
      <c r="J28" s="409">
        <f>H28/$H$30*100</f>
        <v>0.45210984594775622</v>
      </c>
      <c r="K28" s="226"/>
      <c r="L28" s="405">
        <v>43</v>
      </c>
      <c r="M28" s="383"/>
      <c r="N28" s="409">
        <f t="shared" ref="N28" si="18">L28/$L$30*100</f>
        <v>0.61114269471290505</v>
      </c>
      <c r="O28" s="227"/>
      <c r="P28" s="405">
        <v>42</v>
      </c>
      <c r="Q28" s="383"/>
      <c r="R28" s="413">
        <f>P28/$P$30*100</f>
        <v>0.69802227023433605</v>
      </c>
    </row>
    <row r="29" spans="2:20" s="1" customFormat="1" ht="15" customHeight="1">
      <c r="B29" s="294"/>
      <c r="C29" s="233"/>
      <c r="D29" s="407"/>
      <c r="E29" s="242"/>
      <c r="F29" s="410"/>
      <c r="G29" s="404"/>
      <c r="H29" s="407"/>
      <c r="I29" s="242"/>
      <c r="J29" s="414"/>
      <c r="K29" s="233"/>
      <c r="L29" s="407"/>
      <c r="M29" s="242"/>
      <c r="N29" s="410"/>
      <c r="O29" s="404"/>
      <c r="P29" s="407"/>
      <c r="Q29" s="242"/>
      <c r="R29" s="414"/>
    </row>
    <row r="30" spans="2:20" s="33" customFormat="1" ht="15" customHeight="1">
      <c r="B30" s="240" t="s">
        <v>192</v>
      </c>
      <c r="C30" s="234"/>
      <c r="D30" s="408">
        <f>SUM(D6:D29)</f>
        <v>7119</v>
      </c>
      <c r="E30" s="384"/>
      <c r="F30" s="412">
        <f>SUM(F6:F29)</f>
        <v>100.00000000000003</v>
      </c>
      <c r="G30" s="235"/>
      <c r="H30" s="408">
        <f>SUM(H6:H28)</f>
        <v>5972</v>
      </c>
      <c r="I30" s="384"/>
      <c r="J30" s="416">
        <f>SUM(J6:J28)</f>
        <v>100.00000000000001</v>
      </c>
      <c r="K30" s="234"/>
      <c r="L30" s="408">
        <f>SUM(L6:L29)</f>
        <v>7036</v>
      </c>
      <c r="M30" s="384"/>
      <c r="N30" s="450">
        <f>SUM(N6:N28)</f>
        <v>100</v>
      </c>
      <c r="O30" s="235"/>
      <c r="P30" s="408">
        <f>SUM(P6:P29)</f>
        <v>6017</v>
      </c>
      <c r="Q30" s="384"/>
      <c r="R30" s="416">
        <f>SUM(R6:R28)</f>
        <v>100</v>
      </c>
    </row>
    <row r="31" spans="2:20" s="1" customFormat="1" ht="16.149999999999999" customHeight="1">
      <c r="B31" s="1" t="s">
        <v>455</v>
      </c>
      <c r="C31" s="218"/>
      <c r="D31" s="218"/>
      <c r="E31" s="218"/>
      <c r="H31" s="183"/>
      <c r="I31" s="183"/>
      <c r="J31" s="95"/>
      <c r="K31" s="218"/>
      <c r="L31" s="218"/>
      <c r="M31" s="218"/>
      <c r="P31" s="183"/>
      <c r="Q31" s="183"/>
      <c r="R31" s="95" t="s">
        <v>193</v>
      </c>
      <c r="S31" s="33"/>
      <c r="T31" s="33"/>
    </row>
    <row r="32" spans="2:20" s="1" customFormat="1" ht="15.75" customHeight="1">
      <c r="B32" s="446" t="s">
        <v>598</v>
      </c>
      <c r="C32" s="218"/>
      <c r="D32" s="218"/>
      <c r="E32" s="218"/>
      <c r="F32" s="183"/>
      <c r="G32" s="183"/>
      <c r="H32" s="183"/>
      <c r="I32" s="183"/>
      <c r="K32" s="218"/>
      <c r="L32" s="218"/>
      <c r="M32" s="218"/>
      <c r="N32" s="183"/>
      <c r="O32" s="183"/>
      <c r="P32" s="183"/>
      <c r="Q32" s="183"/>
    </row>
    <row r="33" spans="3:18" s="1" customFormat="1" ht="18" customHeight="1">
      <c r="C33" s="218"/>
      <c r="D33" s="218"/>
      <c r="E33" s="218"/>
      <c r="F33" s="183"/>
      <c r="G33" s="183"/>
      <c r="H33" s="183"/>
      <c r="I33" s="183"/>
      <c r="J33" s="183"/>
      <c r="K33" s="218"/>
      <c r="L33" s="218"/>
      <c r="M33" s="218"/>
      <c r="N33" s="183"/>
      <c r="O33" s="183"/>
      <c r="P33" s="183"/>
      <c r="Q33" s="183"/>
      <c r="R33" s="183"/>
    </row>
    <row r="34" spans="3:18" s="1" customFormat="1" ht="18" customHeight="1">
      <c r="H34" s="183"/>
      <c r="I34" s="183"/>
      <c r="J34" s="183"/>
      <c r="P34" s="183"/>
      <c r="Q34" s="183"/>
      <c r="R34" s="183"/>
    </row>
    <row r="35" spans="3:18" s="1" customFormat="1" ht="18" customHeight="1">
      <c r="H35" s="183"/>
      <c r="I35" s="183"/>
      <c r="J35" s="183"/>
      <c r="P35" s="183"/>
      <c r="Q35" s="183"/>
      <c r="R35" s="183"/>
    </row>
    <row r="36" spans="3:18" s="1" customFormat="1" ht="18" customHeight="1">
      <c r="H36" s="183"/>
      <c r="I36" s="183"/>
      <c r="J36" s="183"/>
      <c r="P36" s="183"/>
      <c r="Q36" s="183"/>
      <c r="R36" s="183"/>
    </row>
    <row r="37" spans="3:18" s="1" customFormat="1" ht="18" customHeight="1">
      <c r="H37" s="183"/>
      <c r="I37" s="183"/>
      <c r="J37" s="183"/>
      <c r="P37" s="183"/>
      <c r="Q37" s="183"/>
      <c r="R37" s="183"/>
    </row>
    <row r="41" spans="3:18" ht="18" customHeight="1">
      <c r="J41" s="219"/>
      <c r="R41" s="219"/>
    </row>
    <row r="47" spans="3:18" ht="18" customHeight="1">
      <c r="J47" s="219"/>
      <c r="R47" s="219"/>
    </row>
    <row r="48" spans="3:18" ht="18" customHeight="1">
      <c r="J48" s="219"/>
      <c r="R48" s="219"/>
    </row>
    <row r="49" spans="2:23" ht="18" customHeight="1">
      <c r="J49" s="219"/>
      <c r="R49" s="219"/>
    </row>
    <row r="64" spans="2:23" s="183" customFormat="1" ht="18" customHeight="1">
      <c r="B64" s="219"/>
      <c r="C64" s="218"/>
      <c r="D64" s="218"/>
      <c r="E64" s="218"/>
      <c r="K64" s="218"/>
      <c r="L64" s="218"/>
      <c r="M64" s="218"/>
      <c r="S64" s="219"/>
      <c r="T64" s="219"/>
      <c r="U64" s="219"/>
      <c r="V64" s="219"/>
      <c r="W64" s="219"/>
    </row>
    <row r="65" spans="2:23" s="183" customFormat="1" ht="18" customHeight="1">
      <c r="B65" s="219"/>
      <c r="C65" s="218"/>
      <c r="D65" s="218"/>
      <c r="E65" s="218"/>
      <c r="K65" s="218"/>
      <c r="L65" s="218"/>
      <c r="M65" s="218"/>
      <c r="S65" s="219"/>
      <c r="T65" s="219"/>
      <c r="U65" s="219"/>
      <c r="V65" s="219"/>
      <c r="W65" s="219"/>
    </row>
    <row r="66" spans="2:23" s="183" customFormat="1" ht="18" customHeight="1">
      <c r="B66" s="219"/>
      <c r="C66" s="218"/>
      <c r="D66" s="218"/>
      <c r="E66" s="218"/>
      <c r="K66" s="218"/>
      <c r="L66" s="218"/>
      <c r="M66" s="218"/>
      <c r="S66" s="219"/>
      <c r="T66" s="219"/>
      <c r="U66" s="219"/>
      <c r="V66" s="219"/>
      <c r="W66" s="219"/>
    </row>
    <row r="67" spans="2:23" s="183" customFormat="1" ht="18" customHeight="1">
      <c r="B67" s="219"/>
      <c r="C67" s="218"/>
      <c r="D67" s="218"/>
      <c r="E67" s="218"/>
      <c r="K67" s="218"/>
      <c r="L67" s="218"/>
      <c r="M67" s="218"/>
      <c r="S67" s="219"/>
      <c r="T67" s="219"/>
      <c r="U67" s="219"/>
      <c r="V67" s="219"/>
      <c r="W67" s="219"/>
    </row>
    <row r="68" spans="2:23" s="183" customFormat="1" ht="18" customHeight="1">
      <c r="B68" s="219"/>
      <c r="C68" s="218"/>
      <c r="D68" s="218"/>
      <c r="E68" s="218"/>
      <c r="K68" s="218"/>
      <c r="L68" s="218"/>
      <c r="M68" s="218"/>
      <c r="S68" s="219"/>
      <c r="T68" s="219"/>
      <c r="U68" s="219"/>
      <c r="V68" s="219"/>
      <c r="W68" s="219"/>
    </row>
    <row r="69" spans="2:23" s="183" customFormat="1" ht="18" customHeight="1">
      <c r="B69" s="219"/>
      <c r="C69" s="218"/>
      <c r="D69" s="218"/>
      <c r="E69" s="218"/>
      <c r="K69" s="218"/>
      <c r="L69" s="218"/>
      <c r="M69" s="218"/>
      <c r="S69" s="219"/>
      <c r="T69" s="219"/>
      <c r="U69" s="219"/>
      <c r="V69" s="219"/>
      <c r="W69" s="219"/>
    </row>
    <row r="70" spans="2:23" s="183" customFormat="1" ht="18" customHeight="1">
      <c r="B70" s="219"/>
      <c r="C70" s="218"/>
      <c r="D70" s="218"/>
      <c r="E70" s="218"/>
      <c r="K70" s="218"/>
      <c r="L70" s="218"/>
      <c r="M70" s="218"/>
      <c r="S70" s="219"/>
      <c r="T70" s="219"/>
      <c r="U70" s="219"/>
      <c r="V70" s="219"/>
      <c r="W70" s="219"/>
    </row>
    <row r="71" spans="2:23" s="183" customFormat="1" ht="18" customHeight="1">
      <c r="B71" s="219"/>
      <c r="C71" s="218"/>
      <c r="D71" s="218"/>
      <c r="E71" s="218"/>
      <c r="K71" s="218"/>
      <c r="L71" s="218"/>
      <c r="M71" s="218"/>
      <c r="S71" s="219"/>
      <c r="T71" s="219"/>
      <c r="U71" s="219"/>
      <c r="V71" s="219"/>
      <c r="W71" s="219"/>
    </row>
    <row r="72" spans="2:23" s="183" customFormat="1" ht="18" customHeight="1">
      <c r="B72" s="219"/>
      <c r="C72" s="218"/>
      <c r="D72" s="218"/>
      <c r="E72" s="218"/>
      <c r="K72" s="218"/>
      <c r="L72" s="218"/>
      <c r="M72" s="218"/>
      <c r="S72" s="219"/>
      <c r="T72" s="219"/>
      <c r="U72" s="219"/>
      <c r="V72" s="219"/>
      <c r="W72" s="219"/>
    </row>
    <row r="73" spans="2:23" s="183" customFormat="1" ht="18" customHeight="1">
      <c r="B73" s="219"/>
      <c r="C73" s="218"/>
      <c r="D73" s="218"/>
      <c r="E73" s="218"/>
      <c r="K73" s="218"/>
      <c r="L73" s="218"/>
      <c r="M73" s="218"/>
      <c r="S73" s="219"/>
      <c r="T73" s="219"/>
      <c r="U73" s="219"/>
      <c r="V73" s="219"/>
      <c r="W73" s="219"/>
    </row>
    <row r="74" spans="2:23" s="183" customFormat="1" ht="18" customHeight="1">
      <c r="B74" s="219"/>
      <c r="C74" s="218"/>
      <c r="D74" s="218"/>
      <c r="E74" s="218"/>
      <c r="K74" s="218"/>
      <c r="L74" s="218"/>
      <c r="M74" s="218"/>
      <c r="S74" s="219"/>
      <c r="T74" s="219"/>
      <c r="U74" s="219"/>
      <c r="V74" s="219"/>
      <c r="W74" s="219"/>
    </row>
    <row r="75" spans="2:23" s="183" customFormat="1" ht="18" customHeight="1">
      <c r="B75" s="219"/>
      <c r="C75" s="218"/>
      <c r="D75" s="218"/>
      <c r="E75" s="218"/>
      <c r="K75" s="218"/>
      <c r="L75" s="218"/>
      <c r="M75" s="218"/>
      <c r="S75" s="219"/>
      <c r="T75" s="219"/>
      <c r="U75" s="219"/>
      <c r="V75" s="219"/>
      <c r="W75" s="219"/>
    </row>
    <row r="76" spans="2:23" s="183" customFormat="1" ht="18" customHeight="1">
      <c r="B76" s="219"/>
      <c r="C76" s="218"/>
      <c r="D76" s="218"/>
      <c r="E76" s="218"/>
      <c r="K76" s="218"/>
      <c r="L76" s="218"/>
      <c r="M76" s="218"/>
      <c r="S76" s="219"/>
      <c r="T76" s="219"/>
      <c r="U76" s="219"/>
      <c r="V76" s="219"/>
      <c r="W76" s="219"/>
    </row>
  </sheetData>
  <mergeCells count="15">
    <mergeCell ref="B2:B4"/>
    <mergeCell ref="C3:F3"/>
    <mergeCell ref="C2:J2"/>
    <mergeCell ref="G3:J3"/>
    <mergeCell ref="C4:D4"/>
    <mergeCell ref="E4:F4"/>
    <mergeCell ref="G4:H4"/>
    <mergeCell ref="I4:J4"/>
    <mergeCell ref="K2:R2"/>
    <mergeCell ref="K3:N3"/>
    <mergeCell ref="O3:R3"/>
    <mergeCell ref="K4:L4"/>
    <mergeCell ref="M4:N4"/>
    <mergeCell ref="O4:P4"/>
    <mergeCell ref="Q4:R4"/>
  </mergeCells>
  <phoneticPr fontId="3"/>
  <pageMargins left="0.59055118110236227" right="0.59055118110236227" top="1.3779527559055118" bottom="0.78740157480314965" header="0.98425196850393704" footer="0.51181102362204722"/>
  <pageSetup paperSize="9" orientation="landscape" horizontalDpi="400" verticalDpi="400" r:id="rId1"/>
  <headerFooter alignWithMargins="0">
    <oddHeader>&amp;L&amp;"HGｺﾞｼｯｸM,ﾒﾃﾞｨｳﾑ"&amp;16職業大分類別就業者数&amp;R&amp;"HGｺﾞｼｯｸM,ﾒﾃﾞｨｳﾑ"
高森町　②産業　C0201-2職業大分類別就業者数</oddHeader>
    <oddFooter>&amp;R&amp;"HGｺﾞｼｯｸM,ﾒﾃﾞｨｳﾑ"C0201-2職業大分類別就業者数　3/3</oddFooter>
  </headerFooter>
</worksheet>
</file>

<file path=xl/worksheets/sheet7.xml><?xml version="1.0" encoding="utf-8"?>
<worksheet xmlns="http://schemas.openxmlformats.org/spreadsheetml/2006/main" xmlns:r="http://schemas.openxmlformats.org/officeDocument/2006/relationships">
  <dimension ref="A1:AM237"/>
  <sheetViews>
    <sheetView showGridLines="0" topLeftCell="S1" zoomScaleNormal="100" zoomScaleSheetLayoutView="85" workbookViewId="0">
      <selection activeCell="U73" sqref="U73"/>
    </sheetView>
  </sheetViews>
  <sheetFormatPr defaultColWidth="8.875" defaultRowHeight="14.1" customHeight="1"/>
  <cols>
    <col min="1" max="1" width="1.75" style="1" hidden="1" customWidth="1"/>
    <col min="2" max="3" width="12.75" style="1" hidden="1" customWidth="1"/>
    <col min="4" max="4" width="9.75" style="1" hidden="1" customWidth="1"/>
    <col min="5" max="9" width="6.75" style="1" hidden="1" customWidth="1"/>
    <col min="10" max="11" width="9.75" style="1" hidden="1" customWidth="1"/>
    <col min="12" max="16" width="6.75" style="1" hidden="1" customWidth="1"/>
    <col min="17" max="17" width="9.75" style="1" hidden="1" customWidth="1"/>
    <col min="18" max="18" width="1.75" style="1" hidden="1" customWidth="1"/>
    <col min="19" max="19" width="1.75" style="1" customWidth="1"/>
    <col min="20" max="20" width="14.375" style="1" customWidth="1"/>
    <col min="21" max="21" width="21.75" style="1" customWidth="1"/>
    <col min="22" max="27" width="10.5" style="1" customWidth="1"/>
    <col min="28" max="28" width="12.25" style="1" bestFit="1" customWidth="1"/>
    <col min="29" max="30" width="10.5" style="1" customWidth="1"/>
    <col min="31" max="32" width="1.75" style="1" customWidth="1"/>
    <col min="33" max="35" width="6.75" style="1" customWidth="1"/>
    <col min="36" max="36" width="9.75" style="1" customWidth="1"/>
    <col min="37" max="38" width="5.25" style="1" customWidth="1"/>
    <col min="39" max="16384" width="8.875" style="1"/>
  </cols>
  <sheetData>
    <row r="1" spans="2:38" ht="5.0999999999999996" customHeight="1">
      <c r="S1" s="33"/>
      <c r="T1" s="33"/>
      <c r="U1" s="33"/>
      <c r="V1" s="33"/>
      <c r="W1" s="33"/>
      <c r="X1" s="33"/>
      <c r="Y1" s="33"/>
      <c r="Z1" s="33"/>
      <c r="AA1" s="33"/>
      <c r="AB1" s="33"/>
      <c r="AC1" s="33"/>
      <c r="AD1" s="33"/>
      <c r="AE1" s="33"/>
      <c r="AF1" s="33"/>
      <c r="AG1" s="33"/>
      <c r="AH1" s="33"/>
      <c r="AI1" s="33"/>
      <c r="AJ1" s="33"/>
      <c r="AK1" s="33"/>
      <c r="AL1" s="33"/>
    </row>
    <row r="2" spans="2:38" ht="14.1" customHeight="1">
      <c r="B2" s="2"/>
      <c r="C2" s="3"/>
      <c r="D2" s="4" t="s">
        <v>48</v>
      </c>
      <c r="E2" s="4"/>
      <c r="F2" s="4"/>
      <c r="G2" s="4"/>
      <c r="H2" s="4"/>
      <c r="I2" s="5"/>
      <c r="J2" s="4"/>
      <c r="K2" s="6" t="s">
        <v>49</v>
      </c>
      <c r="L2" s="4"/>
      <c r="M2" s="4"/>
      <c r="N2" s="4"/>
      <c r="O2" s="4"/>
      <c r="P2" s="5"/>
      <c r="Q2" s="7"/>
      <c r="S2" s="33"/>
      <c r="T2" s="2"/>
      <c r="U2" s="3"/>
      <c r="V2" s="250" t="s">
        <v>50</v>
      </c>
      <c r="W2" s="250"/>
      <c r="X2" s="250"/>
      <c r="Y2" s="250"/>
      <c r="Z2" s="250"/>
      <c r="AA2" s="250"/>
      <c r="AB2" s="250"/>
      <c r="AC2" s="250"/>
      <c r="AD2" s="382"/>
      <c r="AE2" s="33"/>
      <c r="AF2" s="33"/>
      <c r="AL2" s="33"/>
    </row>
    <row r="3" spans="2:38" ht="14.1" customHeight="1">
      <c r="B3" s="8" t="s">
        <v>8</v>
      </c>
      <c r="C3" s="9"/>
      <c r="D3" s="10" t="s">
        <v>9</v>
      </c>
      <c r="E3" s="11" t="s">
        <v>11</v>
      </c>
      <c r="F3" s="12"/>
      <c r="G3" s="12"/>
      <c r="H3" s="12"/>
      <c r="I3" s="13"/>
      <c r="J3" s="14" t="s">
        <v>12</v>
      </c>
      <c r="K3" s="10" t="s">
        <v>9</v>
      </c>
      <c r="L3" s="11" t="s">
        <v>11</v>
      </c>
      <c r="M3" s="12"/>
      <c r="N3" s="12"/>
      <c r="O3" s="12"/>
      <c r="P3" s="13"/>
      <c r="Q3" s="15" t="s">
        <v>12</v>
      </c>
      <c r="S3" s="33"/>
      <c r="T3" s="8" t="s">
        <v>8</v>
      </c>
      <c r="U3" s="9"/>
      <c r="V3" s="184" t="s">
        <v>9</v>
      </c>
      <c r="W3" s="303" t="s">
        <v>111</v>
      </c>
      <c r="X3" s="59"/>
      <c r="Y3" s="59"/>
      <c r="Z3" s="59"/>
      <c r="AA3" s="13"/>
      <c r="AB3" s="699" t="s">
        <v>297</v>
      </c>
      <c r="AC3" s="220" t="s">
        <v>12</v>
      </c>
      <c r="AD3" s="221" t="s">
        <v>298</v>
      </c>
      <c r="AE3" s="33"/>
      <c r="AF3" s="33"/>
      <c r="AL3" s="33"/>
    </row>
    <row r="4" spans="2:38" ht="14.1" customHeight="1">
      <c r="B4" s="16"/>
      <c r="C4" s="17"/>
      <c r="D4" s="18"/>
      <c r="E4" s="19" t="s">
        <v>51</v>
      </c>
      <c r="F4" s="19" t="s">
        <v>52</v>
      </c>
      <c r="G4" s="19" t="s">
        <v>53</v>
      </c>
      <c r="H4" s="20"/>
      <c r="I4" s="21"/>
      <c r="J4" s="18" t="s">
        <v>13</v>
      </c>
      <c r="K4" s="22"/>
      <c r="L4" s="19" t="s">
        <v>54</v>
      </c>
      <c r="M4" s="19" t="s">
        <v>134</v>
      </c>
      <c r="N4" s="19" t="s">
        <v>135</v>
      </c>
      <c r="O4" s="20"/>
      <c r="P4" s="21"/>
      <c r="Q4" s="23" t="s">
        <v>13</v>
      </c>
      <c r="S4" s="33"/>
      <c r="T4" s="16"/>
      <c r="U4" s="17"/>
      <c r="V4" s="22"/>
      <c r="W4" s="19" t="s">
        <v>51</v>
      </c>
      <c r="X4" s="19" t="s">
        <v>52</v>
      </c>
      <c r="Y4" s="19" t="s">
        <v>53</v>
      </c>
      <c r="Z4" s="20"/>
      <c r="AA4" s="21"/>
      <c r="AB4" s="700"/>
      <c r="AC4" s="302" t="s">
        <v>13</v>
      </c>
      <c r="AD4" s="301" t="s">
        <v>322</v>
      </c>
      <c r="AE4" s="33"/>
      <c r="AF4" s="33"/>
      <c r="AL4" s="33"/>
    </row>
    <row r="5" spans="2:38" ht="14.1" customHeight="1">
      <c r="B5" s="24" t="s">
        <v>14</v>
      </c>
      <c r="C5" s="25"/>
      <c r="D5" s="26">
        <f t="shared" ref="D5:D15" si="0">SUM(E5:I5)</f>
        <v>4</v>
      </c>
      <c r="E5" s="27">
        <v>2</v>
      </c>
      <c r="F5" s="27">
        <v>2</v>
      </c>
      <c r="G5" s="154" t="s">
        <v>136</v>
      </c>
      <c r="H5" s="28"/>
      <c r="I5" s="29"/>
      <c r="J5" s="30">
        <v>22</v>
      </c>
      <c r="K5" s="31">
        <f t="shared" ref="K5:K15" si="1">SUM(L5:P5)</f>
        <v>1</v>
      </c>
      <c r="L5" s="154" t="s">
        <v>136</v>
      </c>
      <c r="M5" s="27">
        <v>1</v>
      </c>
      <c r="N5" s="154" t="s">
        <v>136</v>
      </c>
      <c r="O5" s="28"/>
      <c r="P5" s="29"/>
      <c r="Q5" s="32">
        <v>8</v>
      </c>
      <c r="S5" s="33"/>
      <c r="T5" s="24" t="s">
        <v>14</v>
      </c>
      <c r="U5" s="25"/>
      <c r="V5" s="150" t="s">
        <v>133</v>
      </c>
      <c r="W5" s="151" t="s">
        <v>133</v>
      </c>
      <c r="X5" s="151" t="s">
        <v>133</v>
      </c>
      <c r="Y5" s="151" t="s">
        <v>133</v>
      </c>
      <c r="Z5" s="152"/>
      <c r="AA5" s="153"/>
      <c r="AB5" s="300"/>
      <c r="AC5" s="151" t="s">
        <v>133</v>
      </c>
      <c r="AD5" s="147"/>
      <c r="AE5" s="33"/>
      <c r="AF5" s="33"/>
      <c r="AL5" s="33"/>
    </row>
    <row r="6" spans="2:38" s="33" customFormat="1" ht="14.1" customHeight="1">
      <c r="B6" s="34" t="s">
        <v>1</v>
      </c>
      <c r="C6" s="35"/>
      <c r="D6" s="36">
        <f t="shared" si="0"/>
        <v>2</v>
      </c>
      <c r="E6" s="37">
        <v>1</v>
      </c>
      <c r="F6" s="38">
        <v>1</v>
      </c>
      <c r="G6" s="154" t="s">
        <v>136</v>
      </c>
      <c r="H6" s="39"/>
      <c r="I6" s="40"/>
      <c r="J6" s="41">
        <v>12</v>
      </c>
      <c r="K6" s="42">
        <f t="shared" si="1"/>
        <v>1</v>
      </c>
      <c r="L6" s="154" t="s">
        <v>136</v>
      </c>
      <c r="M6" s="38">
        <v>1</v>
      </c>
      <c r="N6" s="154" t="s">
        <v>136</v>
      </c>
      <c r="O6" s="39"/>
      <c r="P6" s="40"/>
      <c r="Q6" s="43">
        <v>8</v>
      </c>
      <c r="T6" s="34" t="s">
        <v>1</v>
      </c>
      <c r="U6" s="35"/>
      <c r="V6" s="144" t="s">
        <v>133</v>
      </c>
      <c r="W6" s="155" t="s">
        <v>133</v>
      </c>
      <c r="X6" s="156" t="s">
        <v>133</v>
      </c>
      <c r="Y6" s="155" t="s">
        <v>133</v>
      </c>
      <c r="Z6" s="157"/>
      <c r="AA6" s="119"/>
      <c r="AB6" s="173"/>
      <c r="AC6" s="155" t="s">
        <v>133</v>
      </c>
      <c r="AD6" s="172"/>
    </row>
    <row r="7" spans="2:38" ht="14.1" customHeight="1">
      <c r="B7" s="34" t="s">
        <v>2</v>
      </c>
      <c r="C7" s="35"/>
      <c r="D7" s="36">
        <f t="shared" si="0"/>
        <v>83</v>
      </c>
      <c r="E7" s="37">
        <v>48</v>
      </c>
      <c r="F7" s="37">
        <v>33</v>
      </c>
      <c r="G7" s="37">
        <v>2</v>
      </c>
      <c r="H7" s="39"/>
      <c r="I7" s="40"/>
      <c r="J7" s="41">
        <v>496</v>
      </c>
      <c r="K7" s="42">
        <f t="shared" si="1"/>
        <v>82</v>
      </c>
      <c r="L7" s="37">
        <v>54</v>
      </c>
      <c r="M7" s="37">
        <v>26</v>
      </c>
      <c r="N7" s="37">
        <v>2</v>
      </c>
      <c r="O7" s="39"/>
      <c r="P7" s="40"/>
      <c r="Q7" s="43">
        <v>469</v>
      </c>
      <c r="S7" s="33"/>
      <c r="T7" s="34" t="s">
        <v>2</v>
      </c>
      <c r="U7" s="35"/>
      <c r="V7" s="140">
        <f>SUM(W7:AA7)</f>
        <v>92</v>
      </c>
      <c r="W7" s="37">
        <v>57</v>
      </c>
      <c r="X7" s="37">
        <v>32</v>
      </c>
      <c r="Y7" s="37">
        <v>3</v>
      </c>
      <c r="Z7" s="39"/>
      <c r="AA7" s="40"/>
      <c r="AB7" s="41"/>
      <c r="AC7" s="37">
        <v>514</v>
      </c>
      <c r="AD7" s="82"/>
      <c r="AE7" s="33"/>
      <c r="AF7" s="33"/>
      <c r="AL7" s="33"/>
    </row>
    <row r="8" spans="2:38" ht="14.1" customHeight="1">
      <c r="B8" s="34" t="s">
        <v>3</v>
      </c>
      <c r="C8" s="35"/>
      <c r="D8" s="36">
        <f t="shared" si="0"/>
        <v>89</v>
      </c>
      <c r="E8" s="37">
        <v>42</v>
      </c>
      <c r="F8" s="37">
        <v>38</v>
      </c>
      <c r="G8" s="37">
        <v>9</v>
      </c>
      <c r="H8" s="39"/>
      <c r="I8" s="40"/>
      <c r="J8" s="41">
        <v>1174</v>
      </c>
      <c r="K8" s="42">
        <f t="shared" si="1"/>
        <v>96</v>
      </c>
      <c r="L8" s="37">
        <v>45</v>
      </c>
      <c r="M8" s="37">
        <v>36</v>
      </c>
      <c r="N8" s="37">
        <v>15</v>
      </c>
      <c r="O8" s="39"/>
      <c r="P8" s="40"/>
      <c r="Q8" s="43">
        <v>1393</v>
      </c>
      <c r="S8" s="33"/>
      <c r="T8" s="34" t="s">
        <v>3</v>
      </c>
      <c r="U8" s="35"/>
      <c r="V8" s="140">
        <f>SUM(W8:AA8)</f>
        <v>83</v>
      </c>
      <c r="W8" s="48">
        <v>31</v>
      </c>
      <c r="X8" s="48">
        <v>40</v>
      </c>
      <c r="Y8" s="48">
        <v>12</v>
      </c>
      <c r="Z8" s="49"/>
      <c r="AA8" s="50"/>
      <c r="AB8" s="51"/>
      <c r="AC8" s="48">
        <v>1506</v>
      </c>
      <c r="AD8" s="90"/>
      <c r="AE8" s="33"/>
      <c r="AF8" s="33"/>
      <c r="AL8" s="33"/>
    </row>
    <row r="9" spans="2:38" ht="14.1" customHeight="1">
      <c r="B9" s="34" t="s">
        <v>15</v>
      </c>
      <c r="C9" s="35"/>
      <c r="D9" s="36">
        <f t="shared" si="0"/>
        <v>202</v>
      </c>
      <c r="E9" s="37">
        <v>160</v>
      </c>
      <c r="F9" s="37">
        <v>41</v>
      </c>
      <c r="G9" s="37">
        <v>1</v>
      </c>
      <c r="H9" s="39"/>
      <c r="I9" s="40"/>
      <c r="J9" s="41">
        <v>725</v>
      </c>
      <c r="K9" s="42">
        <f t="shared" si="1"/>
        <v>198</v>
      </c>
      <c r="L9" s="37">
        <v>156</v>
      </c>
      <c r="M9" s="37">
        <v>42</v>
      </c>
      <c r="N9" s="154" t="s">
        <v>136</v>
      </c>
      <c r="O9" s="39"/>
      <c r="P9" s="40"/>
      <c r="Q9" s="43">
        <v>678</v>
      </c>
      <c r="S9" s="33"/>
      <c r="T9" s="34" t="s">
        <v>15</v>
      </c>
      <c r="U9" s="35"/>
      <c r="V9" s="140">
        <v>181</v>
      </c>
      <c r="W9" s="48">
        <v>124</v>
      </c>
      <c r="X9" s="48">
        <v>50</v>
      </c>
      <c r="Y9" s="48">
        <v>6</v>
      </c>
      <c r="Z9" s="49"/>
      <c r="AA9" s="50"/>
      <c r="AB9" s="51"/>
      <c r="AC9" s="48">
        <v>1081</v>
      </c>
      <c r="AD9" s="90"/>
      <c r="AE9" s="33"/>
      <c r="AF9" s="33"/>
      <c r="AL9" s="33"/>
    </row>
    <row r="10" spans="2:38" ht="14.1" customHeight="1">
      <c r="B10" s="34" t="s">
        <v>16</v>
      </c>
      <c r="C10" s="35"/>
      <c r="D10" s="36">
        <f t="shared" si="0"/>
        <v>6</v>
      </c>
      <c r="E10" s="37">
        <v>1</v>
      </c>
      <c r="F10" s="37">
        <v>4</v>
      </c>
      <c r="G10" s="37">
        <v>1</v>
      </c>
      <c r="H10" s="39"/>
      <c r="I10" s="40"/>
      <c r="J10" s="41">
        <v>83</v>
      </c>
      <c r="K10" s="42">
        <f t="shared" si="1"/>
        <v>3</v>
      </c>
      <c r="L10" s="154" t="s">
        <v>136</v>
      </c>
      <c r="M10" s="37">
        <v>2</v>
      </c>
      <c r="N10" s="37">
        <v>1</v>
      </c>
      <c r="O10" s="39"/>
      <c r="P10" s="40"/>
      <c r="Q10" s="43">
        <v>71</v>
      </c>
      <c r="S10" s="33"/>
      <c r="T10" s="34" t="s">
        <v>16</v>
      </c>
      <c r="U10" s="35"/>
      <c r="V10" s="140">
        <f>SUM(W10:AA10)</f>
        <v>6</v>
      </c>
      <c r="W10" s="48">
        <v>3</v>
      </c>
      <c r="X10" s="48">
        <v>3</v>
      </c>
      <c r="Y10" s="154" t="s">
        <v>133</v>
      </c>
      <c r="Z10" s="49"/>
      <c r="AA10" s="50"/>
      <c r="AB10" s="51"/>
      <c r="AC10" s="48">
        <v>58</v>
      </c>
      <c r="AD10" s="90"/>
      <c r="AE10" s="33"/>
      <c r="AF10" s="33"/>
      <c r="AL10" s="33"/>
    </row>
    <row r="11" spans="2:38" ht="14.1" customHeight="1">
      <c r="B11" s="34" t="s">
        <v>17</v>
      </c>
      <c r="C11" s="35"/>
      <c r="D11" s="36">
        <f t="shared" si="0"/>
        <v>4</v>
      </c>
      <c r="E11" s="37">
        <v>4</v>
      </c>
      <c r="F11" s="154" t="s">
        <v>136</v>
      </c>
      <c r="G11" s="154" t="s">
        <v>136</v>
      </c>
      <c r="H11" s="39"/>
      <c r="I11" s="40"/>
      <c r="J11" s="41">
        <v>5</v>
      </c>
      <c r="K11" s="42">
        <f t="shared" si="1"/>
        <v>4</v>
      </c>
      <c r="L11" s="37">
        <v>3</v>
      </c>
      <c r="M11" s="37">
        <v>1</v>
      </c>
      <c r="N11" s="154" t="s">
        <v>136</v>
      </c>
      <c r="O11" s="39"/>
      <c r="P11" s="40"/>
      <c r="Q11" s="43">
        <v>10</v>
      </c>
      <c r="S11" s="33"/>
      <c r="T11" s="34" t="s">
        <v>17</v>
      </c>
      <c r="U11" s="35"/>
      <c r="V11" s="140">
        <f>SUM(W11:AA11)</f>
        <v>4</v>
      </c>
      <c r="W11" s="48">
        <v>4</v>
      </c>
      <c r="X11" s="154" t="s">
        <v>133</v>
      </c>
      <c r="Y11" s="154" t="s">
        <v>133</v>
      </c>
      <c r="Z11" s="49"/>
      <c r="AA11" s="50"/>
      <c r="AB11" s="51"/>
      <c r="AC11" s="48">
        <v>6</v>
      </c>
      <c r="AD11" s="90"/>
      <c r="AE11" s="33"/>
      <c r="AF11" s="33"/>
      <c r="AL11" s="33"/>
    </row>
    <row r="12" spans="2:38" ht="14.1" customHeight="1">
      <c r="B12" s="34" t="s">
        <v>18</v>
      </c>
      <c r="C12" s="35"/>
      <c r="D12" s="36">
        <f t="shared" si="0"/>
        <v>15</v>
      </c>
      <c r="E12" s="37">
        <v>4</v>
      </c>
      <c r="F12" s="37">
        <v>11</v>
      </c>
      <c r="G12" s="154" t="s">
        <v>136</v>
      </c>
      <c r="H12" s="39"/>
      <c r="I12" s="40"/>
      <c r="J12" s="41">
        <v>117</v>
      </c>
      <c r="K12" s="42">
        <f t="shared" si="1"/>
        <v>9</v>
      </c>
      <c r="L12" s="37">
        <v>4</v>
      </c>
      <c r="M12" s="37">
        <v>5</v>
      </c>
      <c r="N12" s="154" t="s">
        <v>136</v>
      </c>
      <c r="O12" s="39"/>
      <c r="P12" s="40"/>
      <c r="Q12" s="43">
        <v>60</v>
      </c>
      <c r="S12" s="33"/>
      <c r="T12" s="34" t="s">
        <v>18</v>
      </c>
      <c r="U12" s="35"/>
      <c r="V12" s="140">
        <v>13</v>
      </c>
      <c r="W12" s="48">
        <v>3</v>
      </c>
      <c r="X12" s="48">
        <v>7</v>
      </c>
      <c r="Y12" s="154" t="s">
        <v>133</v>
      </c>
      <c r="Z12" s="49"/>
      <c r="AA12" s="50"/>
      <c r="AB12" s="51"/>
      <c r="AC12" s="48">
        <v>169</v>
      </c>
      <c r="AD12" s="90"/>
      <c r="AE12" s="33"/>
      <c r="AF12" s="33"/>
      <c r="AL12" s="33"/>
    </row>
    <row r="13" spans="2:38" ht="14.1" customHeight="1">
      <c r="B13" s="34" t="s">
        <v>4</v>
      </c>
      <c r="C13" s="35"/>
      <c r="D13" s="36">
        <f t="shared" si="0"/>
        <v>1</v>
      </c>
      <c r="E13" s="154" t="s">
        <v>136</v>
      </c>
      <c r="F13" s="37">
        <v>1</v>
      </c>
      <c r="G13" s="154" t="s">
        <v>136</v>
      </c>
      <c r="H13" s="39"/>
      <c r="I13" s="40"/>
      <c r="J13" s="41">
        <v>6</v>
      </c>
      <c r="K13" s="42">
        <f t="shared" si="1"/>
        <v>1</v>
      </c>
      <c r="L13" s="154" t="s">
        <v>136</v>
      </c>
      <c r="M13" s="37">
        <v>1</v>
      </c>
      <c r="N13" s="154" t="s">
        <v>136</v>
      </c>
      <c r="O13" s="39"/>
      <c r="P13" s="40"/>
      <c r="Q13" s="43">
        <v>5</v>
      </c>
      <c r="S13" s="33"/>
      <c r="T13" s="34" t="s">
        <v>325</v>
      </c>
      <c r="U13" s="35"/>
      <c r="V13" s="140">
        <v>2</v>
      </c>
      <c r="W13" s="154" t="s">
        <v>133</v>
      </c>
      <c r="X13" s="154" t="s">
        <v>133</v>
      </c>
      <c r="Y13" s="154" t="s">
        <v>133</v>
      </c>
      <c r="Z13" s="39"/>
      <c r="AA13" s="40"/>
      <c r="AB13" s="41"/>
      <c r="AC13" s="37">
        <v>14</v>
      </c>
      <c r="AD13" s="82"/>
      <c r="AE13" s="33"/>
      <c r="AF13" s="33"/>
      <c r="AL13" s="33"/>
    </row>
    <row r="14" spans="2:38" ht="14.1" customHeight="1">
      <c r="B14" s="34" t="s">
        <v>5</v>
      </c>
      <c r="C14" s="35"/>
      <c r="D14" s="36">
        <f t="shared" si="0"/>
        <v>113</v>
      </c>
      <c r="E14" s="37">
        <v>76</v>
      </c>
      <c r="F14" s="37">
        <v>33</v>
      </c>
      <c r="G14" s="37">
        <v>4</v>
      </c>
      <c r="H14" s="39"/>
      <c r="I14" s="40"/>
      <c r="J14" s="41">
        <v>628</v>
      </c>
      <c r="K14" s="42">
        <f t="shared" si="1"/>
        <v>113</v>
      </c>
      <c r="L14" s="37">
        <v>89</v>
      </c>
      <c r="M14" s="37">
        <v>20</v>
      </c>
      <c r="N14" s="37">
        <v>4</v>
      </c>
      <c r="O14" s="39"/>
      <c r="P14" s="40"/>
      <c r="Q14" s="43">
        <v>613</v>
      </c>
      <c r="S14" s="33"/>
      <c r="T14" s="34" t="s">
        <v>5</v>
      </c>
      <c r="U14" s="35"/>
      <c r="V14" s="140">
        <v>124</v>
      </c>
      <c r="W14" s="37">
        <v>79</v>
      </c>
      <c r="X14" s="37">
        <v>25</v>
      </c>
      <c r="Y14" s="37">
        <v>7</v>
      </c>
      <c r="Z14" s="39"/>
      <c r="AA14" s="40"/>
      <c r="AB14" s="41"/>
      <c r="AC14" s="37">
        <v>1031</v>
      </c>
      <c r="AD14" s="82"/>
      <c r="AE14" s="33"/>
      <c r="AF14" s="33"/>
      <c r="AL14" s="33"/>
    </row>
    <row r="15" spans="2:38" ht="14.1" customHeight="1">
      <c r="B15" s="34" t="s">
        <v>6</v>
      </c>
      <c r="C15" s="35"/>
      <c r="D15" s="36">
        <f t="shared" si="0"/>
        <v>8</v>
      </c>
      <c r="E15" s="37">
        <v>4</v>
      </c>
      <c r="F15" s="37">
        <v>3</v>
      </c>
      <c r="G15" s="37">
        <v>1</v>
      </c>
      <c r="H15" s="39"/>
      <c r="I15" s="40"/>
      <c r="J15" s="41">
        <v>83</v>
      </c>
      <c r="K15" s="42">
        <f t="shared" si="1"/>
        <v>9</v>
      </c>
      <c r="L15" s="37">
        <v>5</v>
      </c>
      <c r="M15" s="37">
        <v>3</v>
      </c>
      <c r="N15" s="37">
        <v>1</v>
      </c>
      <c r="O15" s="39"/>
      <c r="P15" s="40"/>
      <c r="Q15" s="43">
        <v>98</v>
      </c>
      <c r="S15" s="33"/>
      <c r="T15" s="34" t="s">
        <v>6</v>
      </c>
      <c r="U15" s="35"/>
      <c r="V15" s="140">
        <v>9</v>
      </c>
      <c r="W15" s="154" t="s">
        <v>133</v>
      </c>
      <c r="X15" s="154" t="s">
        <v>133</v>
      </c>
      <c r="Y15" s="154" t="s">
        <v>133</v>
      </c>
      <c r="Z15" s="39"/>
      <c r="AA15" s="40"/>
      <c r="AB15" s="41"/>
      <c r="AC15" s="37">
        <v>119</v>
      </c>
      <c r="AD15" s="82"/>
      <c r="AE15" s="33"/>
      <c r="AF15" s="33"/>
      <c r="AL15" s="33"/>
    </row>
    <row r="16" spans="2:38" ht="14.1" customHeight="1">
      <c r="B16" s="46" t="s">
        <v>7</v>
      </c>
      <c r="C16" s="47"/>
      <c r="D16" s="142" t="s">
        <v>133</v>
      </c>
      <c r="E16" s="143" t="s">
        <v>133</v>
      </c>
      <c r="F16" s="143" t="s">
        <v>133</v>
      </c>
      <c r="G16" s="143" t="s">
        <v>133</v>
      </c>
      <c r="H16" s="49"/>
      <c r="I16" s="50"/>
      <c r="J16" s="143" t="s">
        <v>133</v>
      </c>
      <c r="K16" s="149" t="s">
        <v>133</v>
      </c>
      <c r="L16" s="143" t="s">
        <v>133</v>
      </c>
      <c r="M16" s="143" t="s">
        <v>133</v>
      </c>
      <c r="N16" s="143" t="s">
        <v>133</v>
      </c>
      <c r="O16" s="49"/>
      <c r="P16" s="50"/>
      <c r="Q16" s="148" t="s">
        <v>133</v>
      </c>
      <c r="S16" s="33"/>
      <c r="T16" s="46" t="s">
        <v>7</v>
      </c>
      <c r="U16" s="47"/>
      <c r="V16" s="149" t="s">
        <v>133</v>
      </c>
      <c r="W16" s="143" t="s">
        <v>133</v>
      </c>
      <c r="X16" s="143" t="s">
        <v>133</v>
      </c>
      <c r="Y16" s="143" t="s">
        <v>133</v>
      </c>
      <c r="Z16" s="49"/>
      <c r="AA16" s="50"/>
      <c r="AB16" s="51"/>
      <c r="AC16" s="143" t="s">
        <v>133</v>
      </c>
      <c r="AD16" s="148"/>
      <c r="AE16" s="33"/>
      <c r="AF16" s="33"/>
      <c r="AL16" s="33"/>
    </row>
    <row r="17" spans="2:39" ht="14.1" customHeight="1">
      <c r="B17" s="52" t="s">
        <v>47</v>
      </c>
      <c r="C17" s="53"/>
      <c r="D17" s="93">
        <f>SUM(D5:D16)</f>
        <v>527</v>
      </c>
      <c r="E17" s="54">
        <f>SUM(E5:E16)</f>
        <v>342</v>
      </c>
      <c r="F17" s="54">
        <f>SUM(F5:F16)</f>
        <v>167</v>
      </c>
      <c r="G17" s="54">
        <f>SUM(G5:G16)</f>
        <v>18</v>
      </c>
      <c r="H17" s="54"/>
      <c r="I17" s="55"/>
      <c r="J17" s="57">
        <f>SUM(J5:J16)</f>
        <v>3351</v>
      </c>
      <c r="K17" s="93">
        <f>SUM(K5:K16)</f>
        <v>517</v>
      </c>
      <c r="L17" s="54">
        <f>SUM(L5:L16)</f>
        <v>356</v>
      </c>
      <c r="M17" s="54">
        <f>SUM(M5:M16)</f>
        <v>138</v>
      </c>
      <c r="N17" s="54">
        <f>SUM(N5:N16)</f>
        <v>23</v>
      </c>
      <c r="O17" s="54"/>
      <c r="P17" s="55"/>
      <c r="Q17" s="58">
        <f>SUM(Q5:Q16)</f>
        <v>3413</v>
      </c>
      <c r="S17" s="33"/>
      <c r="T17" s="52" t="s">
        <v>47</v>
      </c>
      <c r="U17" s="53"/>
      <c r="V17" s="93">
        <f>SUM(V5:V16)</f>
        <v>514</v>
      </c>
      <c r="W17" s="54">
        <f>SUM(W5:W16)</f>
        <v>301</v>
      </c>
      <c r="X17" s="54">
        <f>SUM(X5:X16)</f>
        <v>157</v>
      </c>
      <c r="Y17" s="54">
        <f>SUM(Y5:Y16)</f>
        <v>28</v>
      </c>
      <c r="Z17" s="54"/>
      <c r="AA17" s="55"/>
      <c r="AB17" s="54"/>
      <c r="AC17" s="54">
        <f>SUM(AC5:AC16)</f>
        <v>4498</v>
      </c>
      <c r="AD17" s="84"/>
      <c r="AE17" s="33"/>
      <c r="AF17" s="33"/>
      <c r="AL17" s="33"/>
    </row>
    <row r="18" spans="2:39" ht="5.0999999999999996" customHeight="1">
      <c r="S18" s="33"/>
      <c r="T18" s="59"/>
      <c r="U18" s="59"/>
      <c r="V18" s="60"/>
      <c r="W18" s="30"/>
      <c r="X18" s="30"/>
      <c r="Y18" s="30"/>
      <c r="Z18" s="30"/>
      <c r="AA18" s="30"/>
      <c r="AB18" s="30"/>
      <c r="AC18" s="30"/>
      <c r="AD18" s="60"/>
      <c r="AE18" s="33"/>
      <c r="AF18" s="33"/>
      <c r="AG18" s="30"/>
      <c r="AH18" s="30"/>
      <c r="AI18" s="30"/>
      <c r="AJ18" s="30"/>
      <c r="AL18" s="33"/>
    </row>
    <row r="19" spans="2:39" ht="14.1" customHeight="1">
      <c r="B19" s="2"/>
      <c r="C19" s="3"/>
      <c r="D19" s="696" t="s">
        <v>19</v>
      </c>
      <c r="E19" s="697"/>
      <c r="F19" s="697"/>
      <c r="G19" s="697"/>
      <c r="H19" s="697"/>
      <c r="I19" s="697"/>
      <c r="J19" s="698"/>
      <c r="K19" s="59"/>
      <c r="L19" s="59"/>
      <c r="M19" s="59"/>
      <c r="N19" s="59"/>
      <c r="O19" s="59"/>
      <c r="P19" s="59"/>
      <c r="Q19" s="59"/>
      <c r="S19" s="33"/>
      <c r="T19" s="2"/>
      <c r="U19" s="3"/>
      <c r="V19" s="250" t="s">
        <v>126</v>
      </c>
      <c r="W19" s="5"/>
      <c r="X19" s="5"/>
      <c r="Y19" s="5"/>
      <c r="Z19" s="5"/>
      <c r="AA19" s="5"/>
      <c r="AB19" s="5"/>
      <c r="AC19" s="5"/>
      <c r="AD19" s="88"/>
      <c r="AE19" s="33"/>
      <c r="AF19" s="33"/>
      <c r="AL19" s="33"/>
    </row>
    <row r="20" spans="2:39" ht="14.1" customHeight="1">
      <c r="B20" s="8" t="s">
        <v>8</v>
      </c>
      <c r="C20" s="9"/>
      <c r="D20" s="10" t="s">
        <v>9</v>
      </c>
      <c r="E20" s="11" t="s">
        <v>11</v>
      </c>
      <c r="F20" s="12"/>
      <c r="G20" s="12"/>
      <c r="H20" s="12"/>
      <c r="I20" s="13"/>
      <c r="J20" s="15" t="s">
        <v>12</v>
      </c>
      <c r="K20" s="133"/>
      <c r="L20" s="59"/>
      <c r="M20" s="59"/>
      <c r="N20" s="59"/>
      <c r="O20" s="59"/>
      <c r="P20" s="59"/>
      <c r="Q20" s="133"/>
      <c r="S20" s="33"/>
      <c r="T20" s="8" t="s">
        <v>8</v>
      </c>
      <c r="U20" s="9"/>
      <c r="V20" s="184" t="s">
        <v>9</v>
      </c>
      <c r="W20" s="304" t="s">
        <v>111</v>
      </c>
      <c r="X20" s="305"/>
      <c r="Y20" s="305"/>
      <c r="Z20" s="305"/>
      <c r="AA20" s="306"/>
      <c r="AB20" s="694" t="s">
        <v>297</v>
      </c>
      <c r="AC20" s="133" t="s">
        <v>12</v>
      </c>
      <c r="AD20" s="221" t="s">
        <v>298</v>
      </c>
      <c r="AE20" s="33"/>
      <c r="AF20" s="33"/>
      <c r="AL20" s="33"/>
    </row>
    <row r="21" spans="2:39" ht="14.1" customHeight="1">
      <c r="B21" s="16"/>
      <c r="C21" s="17"/>
      <c r="D21" s="22"/>
      <c r="E21" s="19" t="s">
        <v>51</v>
      </c>
      <c r="F21" s="19" t="s">
        <v>52</v>
      </c>
      <c r="G21" s="19" t="s">
        <v>163</v>
      </c>
      <c r="H21" s="20"/>
      <c r="I21" s="21"/>
      <c r="J21" s="23" t="s">
        <v>13</v>
      </c>
      <c r="K21" s="133"/>
      <c r="L21" s="133"/>
      <c r="M21" s="133"/>
      <c r="N21" s="133"/>
      <c r="O21" s="134"/>
      <c r="P21" s="133"/>
      <c r="Q21" s="133"/>
      <c r="S21" s="33"/>
      <c r="T21" s="16"/>
      <c r="U21" s="17"/>
      <c r="V21" s="18"/>
      <c r="W21" s="64" t="s">
        <v>51</v>
      </c>
      <c r="X21" s="64" t="s">
        <v>55</v>
      </c>
      <c r="Y21" s="64" t="s">
        <v>56</v>
      </c>
      <c r="Z21" s="20" t="s">
        <v>57</v>
      </c>
      <c r="AA21" s="65" t="s">
        <v>53</v>
      </c>
      <c r="AB21" s="695"/>
      <c r="AC21" s="18" t="s">
        <v>13</v>
      </c>
      <c r="AD21" s="301" t="s">
        <v>322</v>
      </c>
      <c r="AE21" s="33"/>
      <c r="AF21" s="33"/>
      <c r="AL21" s="33"/>
    </row>
    <row r="22" spans="2:39" ht="14.1" customHeight="1">
      <c r="B22" s="24" t="s">
        <v>14</v>
      </c>
      <c r="C22" s="25"/>
      <c r="D22" s="149" t="s">
        <v>133</v>
      </c>
      <c r="E22" s="143" t="s">
        <v>133</v>
      </c>
      <c r="F22" s="143" t="s">
        <v>133</v>
      </c>
      <c r="G22" s="143" t="s">
        <v>133</v>
      </c>
      <c r="H22" s="49"/>
      <c r="I22" s="50"/>
      <c r="J22" s="148" t="s">
        <v>133</v>
      </c>
      <c r="K22" s="296"/>
      <c r="L22" s="114"/>
      <c r="M22" s="114"/>
      <c r="N22" s="114"/>
      <c r="O22" s="30"/>
      <c r="P22" s="30"/>
      <c r="Q22" s="114"/>
      <c r="S22" s="33"/>
      <c r="T22" s="24" t="s">
        <v>14</v>
      </c>
      <c r="U22" s="25"/>
      <c r="V22" s="26"/>
      <c r="W22" s="130"/>
      <c r="X22" s="27"/>
      <c r="Y22" s="27"/>
      <c r="Z22" s="28"/>
      <c r="AA22" s="29"/>
      <c r="AB22" s="152"/>
      <c r="AC22" s="30"/>
      <c r="AD22" s="147"/>
      <c r="AE22" s="33"/>
      <c r="AF22" s="33"/>
      <c r="AL22" s="33"/>
      <c r="AM22" s="33"/>
    </row>
    <row r="23" spans="2:39" s="33" customFormat="1" ht="14.1" customHeight="1">
      <c r="B23" s="34" t="s">
        <v>1</v>
      </c>
      <c r="C23" s="35"/>
      <c r="D23" s="42">
        <f>SUM(E23:I23)</f>
        <v>1</v>
      </c>
      <c r="E23" s="154" t="s">
        <v>133</v>
      </c>
      <c r="F23" s="38">
        <v>1</v>
      </c>
      <c r="G23" s="154" t="s">
        <v>133</v>
      </c>
      <c r="H23" s="39"/>
      <c r="I23" s="40"/>
      <c r="J23" s="82">
        <v>9</v>
      </c>
      <c r="K23" s="296"/>
      <c r="L23" s="114"/>
      <c r="M23" s="297"/>
      <c r="N23" s="114"/>
      <c r="O23" s="114"/>
      <c r="P23" s="114"/>
      <c r="Q23" s="114"/>
      <c r="T23" s="34" t="s">
        <v>1</v>
      </c>
      <c r="U23" s="35"/>
      <c r="V23" s="131"/>
      <c r="W23" s="37"/>
      <c r="X23" s="38"/>
      <c r="Y23" s="37"/>
      <c r="Z23" s="39"/>
      <c r="AA23" s="40"/>
      <c r="AB23" s="157"/>
      <c r="AC23" s="41"/>
      <c r="AD23" s="172"/>
      <c r="AK23" s="1"/>
      <c r="AM23" s="1"/>
    </row>
    <row r="24" spans="2:39" ht="14.1" customHeight="1">
      <c r="B24" s="34" t="s">
        <v>2</v>
      </c>
      <c r="C24" s="35"/>
      <c r="D24" s="42">
        <f>SUM(E24:I24)</f>
        <v>87</v>
      </c>
      <c r="E24" s="37">
        <v>57</v>
      </c>
      <c r="F24" s="37">
        <v>29</v>
      </c>
      <c r="G24" s="37">
        <v>1</v>
      </c>
      <c r="H24" s="39"/>
      <c r="I24" s="40"/>
      <c r="J24" s="43">
        <v>541</v>
      </c>
      <c r="K24" s="135"/>
      <c r="L24" s="30"/>
      <c r="M24" s="30"/>
      <c r="N24" s="30"/>
      <c r="O24" s="30"/>
      <c r="P24" s="30"/>
      <c r="Q24" s="30"/>
      <c r="S24" s="33"/>
      <c r="T24" s="34" t="s">
        <v>2</v>
      </c>
      <c r="U24" s="35"/>
      <c r="V24" s="131"/>
      <c r="W24" s="37"/>
      <c r="X24" s="37"/>
      <c r="Y24" s="37"/>
      <c r="Z24" s="39"/>
      <c r="AA24" s="40"/>
      <c r="AB24" s="39"/>
      <c r="AC24" s="41"/>
      <c r="AD24" s="82"/>
      <c r="AE24" s="33"/>
      <c r="AF24" s="33"/>
      <c r="AL24" s="33"/>
    </row>
    <row r="25" spans="2:39" ht="14.1" customHeight="1">
      <c r="B25" s="34" t="s">
        <v>3</v>
      </c>
      <c r="C25" s="35"/>
      <c r="D25" s="42">
        <f>SUM(E25:I25)</f>
        <v>85</v>
      </c>
      <c r="E25" s="37">
        <v>30</v>
      </c>
      <c r="F25" s="37">
        <v>37</v>
      </c>
      <c r="G25" s="37">
        <v>18</v>
      </c>
      <c r="H25" s="39"/>
      <c r="I25" s="40"/>
      <c r="J25" s="43">
        <v>1722</v>
      </c>
      <c r="K25" s="135"/>
      <c r="L25" s="30"/>
      <c r="M25" s="30"/>
      <c r="N25" s="30"/>
      <c r="O25" s="30"/>
      <c r="P25" s="30"/>
      <c r="Q25" s="30"/>
      <c r="S25" s="33"/>
      <c r="T25" s="34" t="s">
        <v>3</v>
      </c>
      <c r="U25" s="35"/>
      <c r="V25" s="131"/>
      <c r="W25" s="37"/>
      <c r="X25" s="37"/>
      <c r="Y25" s="37"/>
      <c r="Z25" s="39"/>
      <c r="AA25" s="40"/>
      <c r="AB25" s="49"/>
      <c r="AC25" s="41"/>
      <c r="AD25" s="90"/>
      <c r="AE25" s="33"/>
      <c r="AF25" s="33"/>
      <c r="AL25" s="33"/>
    </row>
    <row r="26" spans="2:39" ht="14.1" customHeight="1">
      <c r="B26" s="34" t="s">
        <v>15</v>
      </c>
      <c r="C26" s="35"/>
      <c r="D26" s="42">
        <v>176</v>
      </c>
      <c r="E26" s="37">
        <v>123</v>
      </c>
      <c r="F26" s="37">
        <v>51</v>
      </c>
      <c r="G26" s="37">
        <v>1</v>
      </c>
      <c r="H26" s="39"/>
      <c r="I26" s="40"/>
      <c r="J26" s="43">
        <v>723</v>
      </c>
      <c r="K26" s="135"/>
      <c r="L26" s="30"/>
      <c r="M26" s="30"/>
      <c r="N26" s="30"/>
      <c r="O26" s="30"/>
      <c r="P26" s="30"/>
      <c r="Q26" s="30"/>
      <c r="S26" s="33"/>
      <c r="T26" s="34" t="s">
        <v>324</v>
      </c>
      <c r="U26" s="35"/>
      <c r="V26" s="131"/>
      <c r="W26" s="37"/>
      <c r="X26" s="37"/>
      <c r="Y26" s="37"/>
      <c r="Z26" s="39"/>
      <c r="AA26" s="40"/>
      <c r="AB26" s="49"/>
      <c r="AC26" s="41"/>
      <c r="AD26" s="90"/>
      <c r="AE26" s="33"/>
      <c r="AF26" s="33"/>
      <c r="AL26" s="33"/>
    </row>
    <row r="27" spans="2:39" ht="14.1" customHeight="1">
      <c r="B27" s="34" t="s">
        <v>16</v>
      </c>
      <c r="C27" s="35"/>
      <c r="D27" s="42">
        <f>SUM(E27:I27)</f>
        <v>4</v>
      </c>
      <c r="E27" s="154" t="s">
        <v>133</v>
      </c>
      <c r="F27" s="37">
        <v>4</v>
      </c>
      <c r="G27" s="154" t="s">
        <v>133</v>
      </c>
      <c r="H27" s="39"/>
      <c r="I27" s="40"/>
      <c r="J27" s="43">
        <v>71</v>
      </c>
      <c r="K27" s="135"/>
      <c r="L27" s="30"/>
      <c r="M27" s="30"/>
      <c r="N27" s="298"/>
      <c r="O27" s="30"/>
      <c r="P27" s="30"/>
      <c r="Q27" s="30"/>
      <c r="S27" s="33"/>
      <c r="T27" s="34" t="s">
        <v>58</v>
      </c>
      <c r="U27" s="35"/>
      <c r="V27" s="131"/>
      <c r="W27" s="37"/>
      <c r="X27" s="37"/>
      <c r="Y27" s="37"/>
      <c r="Z27" s="39"/>
      <c r="AA27" s="40"/>
      <c r="AB27" s="49"/>
      <c r="AC27" s="41"/>
      <c r="AD27" s="90"/>
      <c r="AE27" s="33"/>
      <c r="AF27" s="33"/>
      <c r="AL27" s="33"/>
    </row>
    <row r="28" spans="2:39" ht="14.1" customHeight="1">
      <c r="B28" s="34" t="s">
        <v>17</v>
      </c>
      <c r="C28" s="35"/>
      <c r="D28" s="42">
        <f>SUM(E28:I28)</f>
        <v>3</v>
      </c>
      <c r="E28" s="37">
        <v>3</v>
      </c>
      <c r="F28" s="154" t="s">
        <v>133</v>
      </c>
      <c r="G28" s="154" t="s">
        <v>133</v>
      </c>
      <c r="H28" s="39"/>
      <c r="I28" s="40"/>
      <c r="J28" s="43">
        <v>5</v>
      </c>
      <c r="K28" s="135"/>
      <c r="L28" s="30"/>
      <c r="M28" s="298"/>
      <c r="N28" s="298"/>
      <c r="O28" s="30"/>
      <c r="P28" s="30"/>
      <c r="Q28" s="30"/>
      <c r="S28" s="33"/>
      <c r="T28" s="34" t="s">
        <v>61</v>
      </c>
      <c r="U28" s="35"/>
      <c r="V28" s="131"/>
      <c r="W28" s="37"/>
      <c r="X28" s="37"/>
      <c r="Y28" s="37"/>
      <c r="Z28" s="39"/>
      <c r="AA28" s="40"/>
      <c r="AB28" s="49"/>
      <c r="AC28" s="41"/>
      <c r="AD28" s="90"/>
      <c r="AE28" s="33"/>
      <c r="AF28" s="33"/>
      <c r="AL28" s="33"/>
    </row>
    <row r="29" spans="2:39" ht="14.1" customHeight="1">
      <c r="B29" s="34" t="s">
        <v>18</v>
      </c>
      <c r="C29" s="35"/>
      <c r="D29" s="42">
        <v>11</v>
      </c>
      <c r="E29" s="37">
        <v>1</v>
      </c>
      <c r="F29" s="37">
        <v>6</v>
      </c>
      <c r="G29" s="37">
        <v>1</v>
      </c>
      <c r="H29" s="39"/>
      <c r="I29" s="40"/>
      <c r="J29" s="43">
        <v>124</v>
      </c>
      <c r="K29" s="135"/>
      <c r="L29" s="30"/>
      <c r="M29" s="30"/>
      <c r="N29" s="298"/>
      <c r="O29" s="30"/>
      <c r="P29" s="30"/>
      <c r="Q29" s="30"/>
      <c r="S29" s="33"/>
      <c r="T29" s="34" t="s">
        <v>59</v>
      </c>
      <c r="U29" s="35"/>
      <c r="V29" s="131"/>
      <c r="W29" s="37"/>
      <c r="X29" s="37"/>
      <c r="Y29" s="37"/>
      <c r="Z29" s="39"/>
      <c r="AA29" s="40"/>
      <c r="AB29" s="49"/>
      <c r="AC29" s="41"/>
      <c r="AD29" s="90"/>
      <c r="AE29" s="33"/>
      <c r="AF29" s="33"/>
      <c r="AL29" s="33"/>
    </row>
    <row r="30" spans="2:39" ht="14.1" customHeight="1">
      <c r="B30" s="34" t="s">
        <v>4</v>
      </c>
      <c r="C30" s="35"/>
      <c r="D30" s="42">
        <v>1</v>
      </c>
      <c r="E30" s="154" t="s">
        <v>133</v>
      </c>
      <c r="F30" s="154" t="s">
        <v>133</v>
      </c>
      <c r="G30" s="154" t="s">
        <v>133</v>
      </c>
      <c r="H30" s="39"/>
      <c r="I30" s="40"/>
      <c r="J30" s="43">
        <v>6</v>
      </c>
      <c r="K30" s="135"/>
      <c r="L30" s="298"/>
      <c r="M30" s="298"/>
      <c r="N30" s="298"/>
      <c r="O30" s="30"/>
      <c r="P30" s="30"/>
      <c r="Q30" s="30"/>
      <c r="S30" s="33"/>
      <c r="T30" s="34" t="s">
        <v>60</v>
      </c>
      <c r="U30" s="35"/>
      <c r="V30" s="131"/>
      <c r="W30" s="37"/>
      <c r="X30" s="37"/>
      <c r="Y30" s="37"/>
      <c r="Z30" s="39"/>
      <c r="AA30" s="40"/>
      <c r="AB30" s="39"/>
      <c r="AC30" s="41"/>
      <c r="AD30" s="82"/>
      <c r="AE30" s="33"/>
      <c r="AF30" s="33"/>
      <c r="AL30" s="33"/>
    </row>
    <row r="31" spans="2:39" ht="14.1" customHeight="1">
      <c r="B31" s="34" t="s">
        <v>5</v>
      </c>
      <c r="C31" s="35"/>
      <c r="D31" s="42">
        <v>121</v>
      </c>
      <c r="E31" s="37">
        <v>80</v>
      </c>
      <c r="F31" s="37">
        <v>24</v>
      </c>
      <c r="G31" s="37">
        <v>4</v>
      </c>
      <c r="H31" s="39"/>
      <c r="I31" s="40"/>
      <c r="J31" s="43">
        <v>859</v>
      </c>
      <c r="K31" s="135"/>
      <c r="L31" s="30"/>
      <c r="M31" s="30"/>
      <c r="N31" s="30"/>
      <c r="O31" s="30"/>
      <c r="P31" s="30"/>
      <c r="Q31" s="30"/>
      <c r="S31" s="33"/>
      <c r="T31" s="34" t="s">
        <v>5</v>
      </c>
      <c r="U31" s="35"/>
      <c r="V31" s="131"/>
      <c r="W31" s="37"/>
      <c r="X31" s="37"/>
      <c r="Y31" s="37"/>
      <c r="Z31" s="39"/>
      <c r="AA31" s="40"/>
      <c r="AB31" s="39"/>
      <c r="AC31" s="41"/>
      <c r="AD31" s="82"/>
      <c r="AE31" s="33"/>
      <c r="AF31" s="33"/>
      <c r="AL31" s="33"/>
    </row>
    <row r="32" spans="2:39" ht="14.1" customHeight="1">
      <c r="B32" s="34" t="s">
        <v>6</v>
      </c>
      <c r="C32" s="35"/>
      <c r="D32" s="42">
        <v>9</v>
      </c>
      <c r="E32" s="154" t="s">
        <v>133</v>
      </c>
      <c r="F32" s="154" t="s">
        <v>133</v>
      </c>
      <c r="G32" s="154" t="s">
        <v>133</v>
      </c>
      <c r="H32" s="39"/>
      <c r="I32" s="40"/>
      <c r="J32" s="43">
        <v>89</v>
      </c>
      <c r="K32" s="135"/>
      <c r="L32" s="298"/>
      <c r="M32" s="298"/>
      <c r="N32" s="298"/>
      <c r="O32" s="30"/>
      <c r="P32" s="30"/>
      <c r="Q32" s="30"/>
      <c r="S32" s="33"/>
      <c r="T32" s="34" t="s">
        <v>6</v>
      </c>
      <c r="U32" s="35"/>
      <c r="V32" s="131"/>
      <c r="W32" s="127"/>
      <c r="X32" s="37"/>
      <c r="Y32" s="37"/>
      <c r="Z32" s="39"/>
      <c r="AA32" s="40"/>
      <c r="AB32" s="39"/>
      <c r="AC32" s="41"/>
      <c r="AD32" s="82"/>
      <c r="AE32" s="33"/>
      <c r="AF32" s="33"/>
      <c r="AL32" s="33"/>
    </row>
    <row r="33" spans="1:38" ht="14.1" customHeight="1">
      <c r="B33" s="46" t="s">
        <v>7</v>
      </c>
      <c r="C33" s="47"/>
      <c r="D33" s="149" t="s">
        <v>133</v>
      </c>
      <c r="E33" s="143" t="s">
        <v>133</v>
      </c>
      <c r="F33" s="143" t="s">
        <v>133</v>
      </c>
      <c r="G33" s="143" t="s">
        <v>133</v>
      </c>
      <c r="H33" s="49"/>
      <c r="I33" s="50"/>
      <c r="J33" s="148" t="s">
        <v>133</v>
      </c>
      <c r="K33" s="296"/>
      <c r="L33" s="114"/>
      <c r="M33" s="114"/>
      <c r="N33" s="114"/>
      <c r="O33" s="30"/>
      <c r="P33" s="30"/>
      <c r="Q33" s="114"/>
      <c r="S33" s="33"/>
      <c r="T33" s="46" t="s">
        <v>7</v>
      </c>
      <c r="U33" s="47"/>
      <c r="V33" s="26"/>
      <c r="W33" s="48"/>
      <c r="X33" s="48"/>
      <c r="Y33" s="48"/>
      <c r="Z33" s="49"/>
      <c r="AA33" s="50"/>
      <c r="AB33" s="49"/>
      <c r="AC33" s="51"/>
      <c r="AD33" s="148"/>
      <c r="AE33" s="33"/>
      <c r="AF33" s="33"/>
      <c r="AL33" s="33"/>
    </row>
    <row r="34" spans="1:38" ht="14.1" customHeight="1">
      <c r="B34" s="52" t="s">
        <v>47</v>
      </c>
      <c r="C34" s="53"/>
      <c r="D34" s="299">
        <f t="shared" ref="D34:I34" si="2">SUM(D22:D33)</f>
        <v>498</v>
      </c>
      <c r="E34" s="54">
        <f t="shared" si="2"/>
        <v>294</v>
      </c>
      <c r="F34" s="54">
        <f t="shared" si="2"/>
        <v>152</v>
      </c>
      <c r="G34" s="54">
        <f t="shared" si="2"/>
        <v>25</v>
      </c>
      <c r="H34" s="55">
        <f t="shared" si="2"/>
        <v>0</v>
      </c>
      <c r="I34" s="56">
        <f t="shared" si="2"/>
        <v>0</v>
      </c>
      <c r="J34" s="58">
        <f>SUM(J23:J33)</f>
        <v>4149</v>
      </c>
      <c r="K34" s="135"/>
      <c r="L34" s="30"/>
      <c r="M34" s="30"/>
      <c r="N34" s="30"/>
      <c r="O34" s="30"/>
      <c r="P34" s="30"/>
      <c r="Q34" s="30"/>
      <c r="S34" s="33"/>
      <c r="T34" s="52" t="s">
        <v>47</v>
      </c>
      <c r="U34" s="53"/>
      <c r="V34" s="128">
        <f>SUM(W34:AA34)</f>
        <v>475</v>
      </c>
      <c r="W34" s="129">
        <v>299</v>
      </c>
      <c r="X34" s="129">
        <v>84</v>
      </c>
      <c r="Y34" s="129">
        <v>51</v>
      </c>
      <c r="Z34" s="129">
        <v>13</v>
      </c>
      <c r="AA34" s="141">
        <v>28</v>
      </c>
      <c r="AB34" s="55"/>
      <c r="AC34" s="128">
        <v>4232</v>
      </c>
      <c r="AD34" s="84"/>
      <c r="AE34" s="33"/>
      <c r="AF34" s="33"/>
      <c r="AL34" s="33"/>
    </row>
    <row r="35" spans="1:38" ht="14.1" customHeight="1">
      <c r="B35" s="139"/>
      <c r="C35" s="59"/>
      <c r="D35" s="60"/>
      <c r="E35" s="30"/>
      <c r="F35" s="30"/>
      <c r="G35" s="30"/>
      <c r="H35" s="30"/>
      <c r="I35" s="30"/>
      <c r="J35" s="30"/>
      <c r="K35" s="60"/>
      <c r="L35" s="30"/>
      <c r="M35" s="30"/>
      <c r="N35" s="30"/>
      <c r="O35" s="30"/>
      <c r="P35" s="30"/>
      <c r="Q35" s="114" t="s">
        <v>169</v>
      </c>
      <c r="S35" s="33"/>
      <c r="T35" s="1" t="s">
        <v>433</v>
      </c>
      <c r="AD35" s="114" t="s">
        <v>169</v>
      </c>
      <c r="AF35" s="33"/>
      <c r="AL35" s="33"/>
    </row>
    <row r="36" spans="1:38" ht="11.25" customHeight="1">
      <c r="A36" s="33"/>
      <c r="B36" s="33"/>
      <c r="C36" s="33"/>
      <c r="D36" s="33"/>
      <c r="E36" s="33"/>
      <c r="F36" s="33"/>
      <c r="G36" s="33"/>
      <c r="H36" s="33"/>
      <c r="I36" s="33"/>
      <c r="J36" s="33"/>
      <c r="K36" s="33"/>
      <c r="L36" s="33"/>
      <c r="M36" s="33"/>
      <c r="N36" s="33"/>
      <c r="O36" s="33"/>
      <c r="P36" s="33"/>
      <c r="Q36" s="33"/>
      <c r="T36" s="1" t="s">
        <v>434</v>
      </c>
    </row>
    <row r="37" spans="1:38" ht="5.0999999999999996" customHeight="1">
      <c r="A37" s="33"/>
      <c r="B37" s="33"/>
      <c r="C37" s="33"/>
      <c r="D37" s="33"/>
      <c r="E37" s="33"/>
      <c r="F37" s="33"/>
      <c r="G37" s="33"/>
      <c r="H37" s="33"/>
      <c r="I37" s="33"/>
      <c r="J37" s="33"/>
      <c r="K37" s="33"/>
      <c r="L37" s="33"/>
      <c r="M37" s="33"/>
      <c r="N37" s="33"/>
      <c r="O37" s="33"/>
      <c r="P37" s="33"/>
      <c r="Q37" s="33"/>
    </row>
    <row r="38" spans="1:38" ht="5.0999999999999996" customHeight="1">
      <c r="A38" s="33"/>
      <c r="B38" s="33"/>
      <c r="C38" s="33"/>
      <c r="D38" s="33"/>
      <c r="E38" s="33"/>
      <c r="F38" s="33"/>
      <c r="G38" s="33"/>
      <c r="H38" s="33"/>
      <c r="I38" s="33"/>
      <c r="J38" s="33"/>
      <c r="K38" s="33"/>
      <c r="L38" s="33"/>
      <c r="M38" s="33"/>
      <c r="N38" s="33"/>
      <c r="O38" s="33"/>
      <c r="P38" s="33"/>
      <c r="Q38" s="33"/>
    </row>
    <row r="39" spans="1:38" ht="14.1" customHeight="1">
      <c r="A39" s="33"/>
      <c r="B39" s="33"/>
      <c r="C39" s="33"/>
      <c r="D39" s="59"/>
      <c r="E39" s="59"/>
      <c r="F39" s="59"/>
      <c r="G39" s="59"/>
      <c r="H39" s="59"/>
      <c r="I39" s="59"/>
      <c r="J39" s="59"/>
      <c r="K39" s="59"/>
      <c r="L39" s="59"/>
      <c r="M39" s="59"/>
      <c r="N39" s="59"/>
      <c r="O39" s="59"/>
      <c r="P39" s="59"/>
      <c r="T39" s="2"/>
      <c r="U39" s="3"/>
      <c r="V39" s="696" t="s">
        <v>299</v>
      </c>
      <c r="W39" s="697"/>
      <c r="X39" s="697"/>
      <c r="Y39" s="697"/>
      <c r="Z39" s="697"/>
      <c r="AA39" s="697"/>
      <c r="AB39" s="697"/>
      <c r="AC39" s="697"/>
      <c r="AD39" s="698"/>
    </row>
    <row r="40" spans="1:38" ht="14.1" customHeight="1">
      <c r="A40" s="33"/>
      <c r="B40" s="59"/>
      <c r="C40" s="59"/>
      <c r="D40" s="133"/>
      <c r="E40" s="59"/>
      <c r="F40" s="59"/>
      <c r="G40" s="59"/>
      <c r="H40" s="59"/>
      <c r="I40" s="59"/>
      <c r="J40" s="133"/>
      <c r="K40" s="133"/>
      <c r="L40" s="59"/>
      <c r="M40" s="59"/>
      <c r="N40" s="59"/>
      <c r="O40" s="59"/>
      <c r="P40" s="59"/>
      <c r="T40" s="8" t="s">
        <v>8</v>
      </c>
      <c r="U40" s="9"/>
      <c r="V40" s="10" t="s">
        <v>9</v>
      </c>
      <c r="W40" s="11" t="s">
        <v>111</v>
      </c>
      <c r="X40" s="12"/>
      <c r="Y40" s="12"/>
      <c r="Z40" s="12"/>
      <c r="AA40" s="13"/>
      <c r="AB40" s="694" t="s">
        <v>297</v>
      </c>
      <c r="AC40" s="220" t="s">
        <v>12</v>
      </c>
      <c r="AD40" s="221" t="s">
        <v>298</v>
      </c>
    </row>
    <row r="41" spans="1:38" ht="14.1" customHeight="1">
      <c r="A41" s="33"/>
      <c r="B41" s="33"/>
      <c r="C41" s="33"/>
      <c r="D41" s="133"/>
      <c r="E41" s="133"/>
      <c r="F41" s="133"/>
      <c r="G41" s="133"/>
      <c r="H41" s="134"/>
      <c r="I41" s="133"/>
      <c r="J41" s="133"/>
      <c r="K41" s="133"/>
      <c r="L41" s="133"/>
      <c r="M41" s="133"/>
      <c r="N41" s="133"/>
      <c r="O41" s="134"/>
      <c r="P41" s="133"/>
      <c r="Q41" s="33"/>
      <c r="T41" s="16"/>
      <c r="U41" s="17"/>
      <c r="V41" s="22"/>
      <c r="W41" s="64" t="s">
        <v>51</v>
      </c>
      <c r="X41" s="64" t="s">
        <v>52</v>
      </c>
      <c r="Y41" s="64" t="s">
        <v>53</v>
      </c>
      <c r="Z41" s="20"/>
      <c r="AA41" s="65"/>
      <c r="AB41" s="695"/>
      <c r="AC41" s="302" t="s">
        <v>13</v>
      </c>
      <c r="AD41" s="301" t="s">
        <v>322</v>
      </c>
    </row>
    <row r="42" spans="1:38" ht="14.1" customHeight="1">
      <c r="A42" s="33"/>
      <c r="B42" s="33"/>
      <c r="C42" s="33"/>
      <c r="D42" s="26"/>
      <c r="E42" s="30"/>
      <c r="F42" s="30"/>
      <c r="G42" s="30"/>
      <c r="H42" s="30"/>
      <c r="I42" s="30"/>
      <c r="J42" s="30"/>
      <c r="K42" s="26"/>
      <c r="L42" s="30"/>
      <c r="M42" s="30"/>
      <c r="N42" s="30"/>
      <c r="O42" s="30"/>
      <c r="P42" s="30"/>
      <c r="Q42" s="33"/>
      <c r="T42" s="24" t="s">
        <v>14</v>
      </c>
      <c r="U42" s="25"/>
      <c r="V42" s="146" t="s">
        <v>133</v>
      </c>
      <c r="W42" s="143" t="s">
        <v>133</v>
      </c>
      <c r="X42" s="143" t="s">
        <v>133</v>
      </c>
      <c r="Y42" s="143" t="s">
        <v>133</v>
      </c>
      <c r="Z42" s="49"/>
      <c r="AA42" s="50"/>
      <c r="AB42" s="152"/>
      <c r="AC42" s="307" t="s">
        <v>326</v>
      </c>
      <c r="AD42" s="147"/>
    </row>
    <row r="43" spans="1:38" s="33" customFormat="1" ht="14.1" customHeight="1">
      <c r="D43" s="135"/>
      <c r="E43" s="30"/>
      <c r="F43" s="136"/>
      <c r="G43" s="30"/>
      <c r="H43" s="30"/>
      <c r="I43" s="30"/>
      <c r="J43" s="30"/>
      <c r="K43" s="135"/>
      <c r="L43" s="30"/>
      <c r="M43" s="136"/>
      <c r="N43" s="30"/>
      <c r="O43" s="30"/>
      <c r="P43" s="30"/>
      <c r="T43" s="34" t="s">
        <v>1</v>
      </c>
      <c r="U43" s="35"/>
      <c r="V43" s="144" t="s">
        <v>133</v>
      </c>
      <c r="W43" s="143" t="s">
        <v>133</v>
      </c>
      <c r="X43" s="143" t="s">
        <v>133</v>
      </c>
      <c r="Y43" s="143" t="s">
        <v>133</v>
      </c>
      <c r="Z43" s="49"/>
      <c r="AA43" s="50"/>
      <c r="AB43" s="157"/>
      <c r="AC43" s="308" t="s">
        <v>326</v>
      </c>
      <c r="AD43" s="172"/>
    </row>
    <row r="44" spans="1:38" ht="14.1" customHeight="1">
      <c r="A44" s="33"/>
      <c r="B44" s="33"/>
      <c r="C44" s="33"/>
      <c r="D44" s="135"/>
      <c r="E44" s="30"/>
      <c r="F44" s="30"/>
      <c r="G44" s="30"/>
      <c r="H44" s="30"/>
      <c r="I44" s="30"/>
      <c r="J44" s="30"/>
      <c r="K44" s="135"/>
      <c r="L44" s="30"/>
      <c r="M44" s="30"/>
      <c r="N44" s="30"/>
      <c r="O44" s="30"/>
      <c r="P44" s="30"/>
      <c r="Q44" s="33"/>
      <c r="T44" s="34" t="s">
        <v>2</v>
      </c>
      <c r="U44" s="35"/>
      <c r="V44" s="140">
        <f>SUM(W44:AA44)</f>
        <v>83</v>
      </c>
      <c r="W44" s="37">
        <v>50</v>
      </c>
      <c r="X44" s="37">
        <v>31</v>
      </c>
      <c r="Y44" s="37">
        <v>2</v>
      </c>
      <c r="Z44" s="122"/>
      <c r="AA44" s="123"/>
      <c r="AB44" s="39"/>
      <c r="AC44" s="39">
        <v>466</v>
      </c>
      <c r="AD44" s="82"/>
    </row>
    <row r="45" spans="1:38" ht="14.1" customHeight="1">
      <c r="A45" s="33"/>
      <c r="B45" s="33"/>
      <c r="C45" s="33"/>
      <c r="D45" s="135"/>
      <c r="E45" s="30"/>
      <c r="F45" s="30"/>
      <c r="G45" s="30"/>
      <c r="H45" s="30"/>
      <c r="I45" s="30"/>
      <c r="J45" s="30"/>
      <c r="K45" s="135"/>
      <c r="L45" s="30"/>
      <c r="M45" s="30"/>
      <c r="N45" s="30"/>
      <c r="O45" s="30"/>
      <c r="P45" s="30"/>
      <c r="Q45" s="33"/>
      <c r="T45" s="34" t="s">
        <v>3</v>
      </c>
      <c r="U45" s="35"/>
      <c r="V45" s="140">
        <f>SUM(W45:AA45)</f>
        <v>80</v>
      </c>
      <c r="W45" s="37">
        <v>30</v>
      </c>
      <c r="X45" s="37">
        <v>41</v>
      </c>
      <c r="Y45" s="37">
        <v>9</v>
      </c>
      <c r="Z45" s="122"/>
      <c r="AA45" s="123"/>
      <c r="AB45" s="49"/>
      <c r="AC45" s="39">
        <v>1353</v>
      </c>
      <c r="AD45" s="90"/>
    </row>
    <row r="46" spans="1:38" ht="14.1" customHeight="1">
      <c r="A46" s="33"/>
      <c r="B46" s="33"/>
      <c r="C46" s="33"/>
      <c r="D46" s="135"/>
      <c r="E46" s="30"/>
      <c r="F46" s="30"/>
      <c r="G46" s="30"/>
      <c r="H46" s="30"/>
      <c r="I46" s="30"/>
      <c r="J46" s="30"/>
      <c r="K46" s="135"/>
      <c r="L46" s="30"/>
      <c r="M46" s="30"/>
      <c r="N46" s="30"/>
      <c r="O46" s="30"/>
      <c r="P46" s="30"/>
      <c r="Q46" s="33"/>
      <c r="T46" s="34" t="s">
        <v>324</v>
      </c>
      <c r="U46" s="35"/>
      <c r="V46" s="140">
        <v>2</v>
      </c>
      <c r="W46" s="154"/>
      <c r="X46" s="154"/>
      <c r="Y46" s="154"/>
      <c r="Z46" s="122"/>
      <c r="AA46" s="123"/>
      <c r="AB46" s="49"/>
      <c r="AC46" s="39">
        <v>11</v>
      </c>
      <c r="AD46" s="90"/>
    </row>
    <row r="47" spans="1:38" ht="14.1" customHeight="1">
      <c r="A47" s="33"/>
      <c r="B47" s="33"/>
      <c r="C47" s="33"/>
      <c r="D47" s="135"/>
      <c r="E47" s="30"/>
      <c r="F47" s="30"/>
      <c r="G47" s="30"/>
      <c r="H47" s="30"/>
      <c r="I47" s="30"/>
      <c r="J47" s="30"/>
      <c r="K47" s="135"/>
      <c r="L47" s="30"/>
      <c r="M47" s="30"/>
      <c r="N47" s="30"/>
      <c r="O47" s="30"/>
      <c r="P47" s="30"/>
      <c r="Q47" s="33"/>
      <c r="T47" s="34" t="s">
        <v>58</v>
      </c>
      <c r="U47" s="35"/>
      <c r="V47" s="140">
        <v>12</v>
      </c>
      <c r="W47" s="37">
        <v>3</v>
      </c>
      <c r="X47" s="37">
        <v>5</v>
      </c>
      <c r="Y47" s="154" t="s">
        <v>136</v>
      </c>
      <c r="Z47" s="122"/>
      <c r="AA47" s="123"/>
      <c r="AB47" s="49"/>
      <c r="AC47" s="39">
        <v>149</v>
      </c>
      <c r="AD47" s="90"/>
    </row>
    <row r="48" spans="1:38" ht="14.1" customHeight="1">
      <c r="A48" s="33"/>
      <c r="B48" s="33"/>
      <c r="C48" s="33"/>
      <c r="D48" s="135"/>
      <c r="E48" s="30"/>
      <c r="F48" s="30"/>
      <c r="G48" s="30"/>
      <c r="H48" s="30"/>
      <c r="I48" s="30"/>
      <c r="J48" s="30"/>
      <c r="K48" s="135"/>
      <c r="L48" s="30"/>
      <c r="M48" s="30"/>
      <c r="N48" s="30"/>
      <c r="O48" s="30"/>
      <c r="P48" s="30"/>
      <c r="Q48" s="33"/>
      <c r="T48" s="34" t="s">
        <v>61</v>
      </c>
      <c r="U48" s="35"/>
      <c r="V48" s="140">
        <v>181</v>
      </c>
      <c r="W48" s="37">
        <v>113</v>
      </c>
      <c r="X48" s="37">
        <v>59</v>
      </c>
      <c r="Y48" s="37">
        <v>8</v>
      </c>
      <c r="Z48" s="122"/>
      <c r="AA48" s="123"/>
      <c r="AB48" s="49"/>
      <c r="AC48" s="39">
        <v>1773</v>
      </c>
      <c r="AD48" s="90"/>
    </row>
    <row r="49" spans="1:30" ht="14.1" customHeight="1">
      <c r="A49" s="33"/>
      <c r="B49" s="33"/>
      <c r="C49" s="33"/>
      <c r="D49" s="135"/>
      <c r="E49" s="30"/>
      <c r="F49" s="30"/>
      <c r="G49" s="30"/>
      <c r="H49" s="30"/>
      <c r="I49" s="30"/>
      <c r="J49" s="30"/>
      <c r="K49" s="135"/>
      <c r="L49" s="30"/>
      <c r="M49" s="30"/>
      <c r="N49" s="30"/>
      <c r="O49" s="30"/>
      <c r="P49" s="30"/>
      <c r="Q49" s="33"/>
      <c r="T49" s="34" t="s">
        <v>59</v>
      </c>
      <c r="U49" s="35"/>
      <c r="V49" s="140">
        <v>5</v>
      </c>
      <c r="W49" s="37">
        <v>2</v>
      </c>
      <c r="X49" s="37">
        <v>3</v>
      </c>
      <c r="Y49" s="154" t="s">
        <v>136</v>
      </c>
      <c r="Z49" s="122"/>
      <c r="AA49" s="123"/>
      <c r="AB49" s="49"/>
      <c r="AC49" s="39">
        <v>48</v>
      </c>
      <c r="AD49" s="90"/>
    </row>
    <row r="50" spans="1:30" ht="14.1" customHeight="1">
      <c r="A50" s="33"/>
      <c r="B50" s="33"/>
      <c r="C50" s="33"/>
      <c r="D50" s="135"/>
      <c r="E50" s="30"/>
      <c r="F50" s="30"/>
      <c r="G50" s="30"/>
      <c r="H50" s="30"/>
      <c r="I50" s="30"/>
      <c r="J50" s="30"/>
      <c r="K50" s="135"/>
      <c r="L50" s="30"/>
      <c r="M50" s="30"/>
      <c r="N50" s="30"/>
      <c r="O50" s="30"/>
      <c r="P50" s="30"/>
      <c r="Q50" s="33"/>
      <c r="T50" s="34" t="s">
        <v>60</v>
      </c>
      <c r="U50" s="35"/>
      <c r="V50" s="140">
        <v>6</v>
      </c>
      <c r="W50" s="37">
        <v>5</v>
      </c>
      <c r="X50" s="37">
        <v>1</v>
      </c>
      <c r="Y50" s="154" t="s">
        <v>136</v>
      </c>
      <c r="Z50" s="122"/>
      <c r="AA50" s="123"/>
      <c r="AB50" s="39"/>
      <c r="AC50" s="39">
        <v>11</v>
      </c>
      <c r="AD50" s="82"/>
    </row>
    <row r="51" spans="1:30" ht="14.1" customHeight="1">
      <c r="A51" s="33"/>
      <c r="B51" s="33"/>
      <c r="C51" s="33"/>
      <c r="D51" s="135"/>
      <c r="E51" s="30"/>
      <c r="F51" s="30"/>
      <c r="G51" s="30"/>
      <c r="H51" s="30"/>
      <c r="I51" s="30"/>
      <c r="J51" s="30"/>
      <c r="K51" s="135"/>
      <c r="L51" s="30"/>
      <c r="M51" s="30"/>
      <c r="N51" s="30"/>
      <c r="O51" s="30"/>
      <c r="P51" s="30"/>
      <c r="Q51" s="33"/>
      <c r="T51" s="34" t="s">
        <v>5</v>
      </c>
      <c r="U51" s="35"/>
      <c r="V51" s="140">
        <v>126</v>
      </c>
      <c r="W51" s="37">
        <v>75</v>
      </c>
      <c r="X51" s="37">
        <v>34</v>
      </c>
      <c r="Y51" s="37">
        <v>4</v>
      </c>
      <c r="Z51" s="122"/>
      <c r="AA51" s="123"/>
      <c r="AB51" s="39"/>
      <c r="AC51" s="39">
        <v>1074</v>
      </c>
      <c r="AD51" s="82"/>
    </row>
    <row r="52" spans="1:30" ht="14.1" customHeight="1">
      <c r="A52" s="33"/>
      <c r="B52" s="33"/>
      <c r="C52" s="33"/>
      <c r="D52" s="135"/>
      <c r="E52" s="30"/>
      <c r="F52" s="30"/>
      <c r="G52" s="30"/>
      <c r="H52" s="30"/>
      <c r="I52" s="30"/>
      <c r="J52" s="30"/>
      <c r="K52" s="135"/>
      <c r="L52" s="30"/>
      <c r="M52" s="30"/>
      <c r="N52" s="30"/>
      <c r="O52" s="30"/>
      <c r="P52" s="30"/>
      <c r="Q52" s="33"/>
      <c r="T52" s="34" t="s">
        <v>6</v>
      </c>
      <c r="U52" s="35"/>
      <c r="V52" s="140">
        <v>9</v>
      </c>
      <c r="W52" s="121"/>
      <c r="X52" s="121"/>
      <c r="Y52" s="121"/>
      <c r="Z52" s="122"/>
      <c r="AA52" s="123"/>
      <c r="AB52" s="39"/>
      <c r="AC52" s="39">
        <v>112</v>
      </c>
      <c r="AD52" s="82"/>
    </row>
    <row r="53" spans="1:30" ht="14.1" customHeight="1">
      <c r="A53" s="33"/>
      <c r="B53" s="33"/>
      <c r="C53" s="33"/>
      <c r="D53" s="135"/>
      <c r="E53" s="30"/>
      <c r="F53" s="30"/>
      <c r="G53" s="30"/>
      <c r="H53" s="30"/>
      <c r="I53" s="30"/>
      <c r="J53" s="30"/>
      <c r="K53" s="135"/>
      <c r="L53" s="30"/>
      <c r="M53" s="30"/>
      <c r="N53" s="30"/>
      <c r="O53" s="30"/>
      <c r="P53" s="30"/>
      <c r="Q53" s="33"/>
      <c r="T53" s="46" t="s">
        <v>7</v>
      </c>
      <c r="U53" s="47"/>
      <c r="V53" s="144" t="s">
        <v>133</v>
      </c>
      <c r="W53" s="143" t="s">
        <v>133</v>
      </c>
      <c r="X53" s="143" t="s">
        <v>133</v>
      </c>
      <c r="Y53" s="143" t="s">
        <v>133</v>
      </c>
      <c r="Z53" s="49"/>
      <c r="AA53" s="50"/>
      <c r="AB53" s="49"/>
      <c r="AC53" s="308" t="s">
        <v>326</v>
      </c>
      <c r="AD53" s="148"/>
    </row>
    <row r="54" spans="1:30" ht="14.1" customHeight="1">
      <c r="A54" s="33"/>
      <c r="B54" s="59"/>
      <c r="C54" s="59"/>
      <c r="D54" s="135"/>
      <c r="E54" s="30"/>
      <c r="F54" s="30"/>
      <c r="G54" s="30"/>
      <c r="H54" s="30"/>
      <c r="I54" s="30"/>
      <c r="J54" s="30"/>
      <c r="K54" s="135"/>
      <c r="L54" s="30"/>
      <c r="M54" s="30"/>
      <c r="N54" s="30"/>
      <c r="O54" s="30"/>
      <c r="P54" s="30"/>
      <c r="Q54" s="33"/>
      <c r="T54" s="52" t="s">
        <v>47</v>
      </c>
      <c r="U54" s="53"/>
      <c r="V54" s="93">
        <f>SUM(V42:V53)</f>
        <v>504</v>
      </c>
      <c r="W54" s="124">
        <f>SUM(W42:W53)</f>
        <v>278</v>
      </c>
      <c r="X54" s="124">
        <f>SUM(X42:X53)</f>
        <v>174</v>
      </c>
      <c r="Y54" s="124">
        <f>SUM(Y42:Y53)</f>
        <v>23</v>
      </c>
      <c r="Z54" s="125"/>
      <c r="AA54" s="126"/>
      <c r="AB54" s="55"/>
      <c r="AC54" s="55">
        <v>4997</v>
      </c>
      <c r="AD54" s="84"/>
    </row>
    <row r="55" spans="1:30" ht="5.0999999999999996" customHeight="1">
      <c r="A55" s="33"/>
      <c r="B55" s="33"/>
      <c r="C55" s="33"/>
      <c r="D55" s="33"/>
      <c r="E55" s="33"/>
      <c r="F55" s="33"/>
      <c r="G55" s="33"/>
      <c r="H55" s="33"/>
      <c r="I55" s="33"/>
      <c r="J55" s="33"/>
      <c r="K55" s="33"/>
      <c r="L55" s="33"/>
      <c r="M55" s="33"/>
      <c r="N55" s="33"/>
      <c r="O55" s="33"/>
      <c r="P55" s="33"/>
      <c r="Q55" s="33"/>
      <c r="V55" s="60"/>
      <c r="W55" s="30"/>
      <c r="X55" s="30"/>
      <c r="Y55" s="30"/>
      <c r="Z55" s="30"/>
      <c r="AA55" s="30"/>
      <c r="AB55" s="30"/>
    </row>
    <row r="56" spans="1:30" ht="14.1" customHeight="1">
      <c r="A56" s="33"/>
      <c r="B56" s="33"/>
      <c r="C56" s="33"/>
      <c r="D56" s="59"/>
      <c r="E56" s="59"/>
      <c r="F56" s="59"/>
      <c r="G56" s="59"/>
      <c r="H56" s="59"/>
      <c r="I56" s="59"/>
      <c r="J56" s="59"/>
      <c r="K56" s="59"/>
      <c r="L56" s="59"/>
      <c r="M56" s="59"/>
      <c r="N56" s="59"/>
      <c r="O56" s="59"/>
      <c r="P56" s="59"/>
      <c r="Q56" s="33"/>
      <c r="T56" s="2"/>
      <c r="U56" s="3"/>
      <c r="V56" s="6" t="s">
        <v>127</v>
      </c>
      <c r="W56" s="4"/>
      <c r="X56" s="4"/>
      <c r="Y56" s="4"/>
      <c r="Z56" s="4"/>
      <c r="AA56" s="4"/>
      <c r="AB56" s="4"/>
      <c r="AC56" s="4"/>
      <c r="AD56" s="88"/>
    </row>
    <row r="57" spans="1:30" ht="14.1" customHeight="1">
      <c r="A57" s="33"/>
      <c r="B57" s="59"/>
      <c r="C57" s="59"/>
      <c r="D57" s="133"/>
      <c r="E57" s="59"/>
      <c r="F57" s="59"/>
      <c r="G57" s="59"/>
      <c r="H57" s="59"/>
      <c r="I57" s="59"/>
      <c r="J57" s="133"/>
      <c r="K57" s="133"/>
      <c r="L57" s="59"/>
      <c r="M57" s="59"/>
      <c r="N57" s="59"/>
      <c r="O57" s="59"/>
      <c r="P57" s="59"/>
      <c r="T57" s="8" t="s">
        <v>8</v>
      </c>
      <c r="U57" s="9"/>
      <c r="V57" s="10" t="s">
        <v>9</v>
      </c>
      <c r="W57" s="61" t="s">
        <v>111</v>
      </c>
      <c r="X57" s="62"/>
      <c r="Y57" s="62"/>
      <c r="Z57" s="62"/>
      <c r="AA57" s="63"/>
      <c r="AB57" s="694" t="s">
        <v>297</v>
      </c>
      <c r="AC57" s="14" t="s">
        <v>12</v>
      </c>
      <c r="AD57" s="221" t="s">
        <v>298</v>
      </c>
    </row>
    <row r="58" spans="1:30" ht="14.1" customHeight="1">
      <c r="A58" s="33"/>
      <c r="B58" s="33"/>
      <c r="C58" s="33"/>
      <c r="D58" s="133"/>
      <c r="E58" s="133"/>
      <c r="F58" s="133"/>
      <c r="G58" s="133"/>
      <c r="H58" s="134"/>
      <c r="I58" s="133"/>
      <c r="J58" s="133"/>
      <c r="K58" s="133"/>
      <c r="L58" s="133"/>
      <c r="M58" s="133"/>
      <c r="N58" s="133"/>
      <c r="O58" s="134"/>
      <c r="P58" s="133"/>
      <c r="T58" s="16"/>
      <c r="U58" s="17"/>
      <c r="V58" s="18"/>
      <c r="W58" s="64" t="s">
        <v>129</v>
      </c>
      <c r="X58" s="64" t="s">
        <v>130</v>
      </c>
      <c r="Y58" s="64" t="s">
        <v>131</v>
      </c>
      <c r="Z58" s="20" t="s">
        <v>132</v>
      </c>
      <c r="AA58" s="65" t="s">
        <v>53</v>
      </c>
      <c r="AB58" s="695"/>
      <c r="AC58" s="18" t="s">
        <v>13</v>
      </c>
      <c r="AD58" s="301" t="s">
        <v>322</v>
      </c>
    </row>
    <row r="59" spans="1:30" ht="14.1" customHeight="1">
      <c r="A59" s="33"/>
      <c r="B59" s="33"/>
      <c r="C59" s="33"/>
      <c r="D59" s="26"/>
      <c r="E59" s="30"/>
      <c r="F59" s="30"/>
      <c r="G59" s="30"/>
      <c r="H59" s="30"/>
      <c r="I59" s="30"/>
      <c r="J59" s="30"/>
      <c r="K59" s="26"/>
      <c r="L59" s="30"/>
      <c r="M59" s="30"/>
      <c r="N59" s="30"/>
      <c r="O59" s="30"/>
      <c r="P59" s="30"/>
      <c r="R59" s="33"/>
      <c r="T59" s="24" t="s">
        <v>14</v>
      </c>
      <c r="U59" s="25"/>
      <c r="V59" s="26">
        <v>1</v>
      </c>
      <c r="W59" s="27"/>
      <c r="X59" s="27"/>
      <c r="Y59" s="27"/>
      <c r="Z59" s="28"/>
      <c r="AA59" s="29"/>
      <c r="AB59" s="152"/>
      <c r="AC59" s="30">
        <v>3</v>
      </c>
      <c r="AD59" s="147"/>
    </row>
    <row r="60" spans="1:30" s="33" customFormat="1" ht="14.1" customHeight="1">
      <c r="D60" s="135"/>
      <c r="E60" s="30"/>
      <c r="F60" s="136"/>
      <c r="G60" s="30"/>
      <c r="H60" s="30"/>
      <c r="I60" s="30"/>
      <c r="J60" s="30"/>
      <c r="K60" s="135"/>
      <c r="L60" s="30"/>
      <c r="M60" s="136"/>
      <c r="N60" s="30"/>
      <c r="O60" s="30"/>
      <c r="P60" s="30"/>
      <c r="Q60" s="1"/>
      <c r="R60" s="1"/>
      <c r="T60" s="34" t="s">
        <v>1</v>
      </c>
      <c r="U60" s="35"/>
      <c r="V60" s="36">
        <v>1</v>
      </c>
      <c r="W60" s="37"/>
      <c r="X60" s="38"/>
      <c r="Y60" s="37"/>
      <c r="Z60" s="39"/>
      <c r="AA60" s="40"/>
      <c r="AB60" s="157"/>
      <c r="AC60" s="41">
        <v>25</v>
      </c>
      <c r="AD60" s="172"/>
    </row>
    <row r="61" spans="1:30" ht="14.1" customHeight="1">
      <c r="A61" s="33"/>
      <c r="B61" s="33"/>
      <c r="C61" s="33"/>
      <c r="D61" s="135"/>
      <c r="E61" s="30"/>
      <c r="F61" s="30"/>
      <c r="G61" s="30"/>
      <c r="H61" s="30"/>
      <c r="I61" s="30"/>
      <c r="J61" s="30"/>
      <c r="K61" s="135"/>
      <c r="L61" s="30"/>
      <c r="M61" s="30"/>
      <c r="N61" s="30"/>
      <c r="O61" s="30"/>
      <c r="P61" s="30"/>
      <c r="T61" s="34" t="s">
        <v>2</v>
      </c>
      <c r="U61" s="35"/>
      <c r="V61" s="36">
        <v>85</v>
      </c>
      <c r="W61" s="37"/>
      <c r="X61" s="37"/>
      <c r="Y61" s="37"/>
      <c r="Z61" s="39"/>
      <c r="AA61" s="40"/>
      <c r="AB61" s="39"/>
      <c r="AC61" s="41">
        <v>415</v>
      </c>
      <c r="AD61" s="82"/>
    </row>
    <row r="62" spans="1:30" ht="14.1" customHeight="1">
      <c r="A62" s="33"/>
      <c r="B62" s="33"/>
      <c r="C62" s="33"/>
      <c r="D62" s="135"/>
      <c r="E62" s="30"/>
      <c r="F62" s="30"/>
      <c r="G62" s="30"/>
      <c r="H62" s="30"/>
      <c r="I62" s="30"/>
      <c r="J62" s="30"/>
      <c r="K62" s="135"/>
      <c r="L62" s="30"/>
      <c r="M62" s="30"/>
      <c r="N62" s="30"/>
      <c r="O62" s="30"/>
      <c r="P62" s="30"/>
      <c r="T62" s="34" t="s">
        <v>3</v>
      </c>
      <c r="U62" s="35"/>
      <c r="V62" s="36">
        <v>81</v>
      </c>
      <c r="W62" s="37"/>
      <c r="X62" s="37"/>
      <c r="Y62" s="37"/>
      <c r="Z62" s="39"/>
      <c r="AA62" s="40"/>
      <c r="AB62" s="49"/>
      <c r="AC62" s="41">
        <v>1417</v>
      </c>
      <c r="AD62" s="90"/>
    </row>
    <row r="63" spans="1:30" ht="14.1" customHeight="1">
      <c r="A63" s="33"/>
      <c r="B63" s="33"/>
      <c r="C63" s="33"/>
      <c r="D63" s="135"/>
      <c r="E63" s="30"/>
      <c r="F63" s="30"/>
      <c r="G63" s="30"/>
      <c r="H63" s="30"/>
      <c r="I63" s="30"/>
      <c r="J63" s="30"/>
      <c r="K63" s="135"/>
      <c r="L63" s="30"/>
      <c r="M63" s="30"/>
      <c r="N63" s="30"/>
      <c r="O63" s="30"/>
      <c r="P63" s="30"/>
      <c r="T63" s="34" t="s">
        <v>324</v>
      </c>
      <c r="U63" s="35"/>
      <c r="V63" s="142" t="s">
        <v>140</v>
      </c>
      <c r="W63" s="143"/>
      <c r="X63" s="143"/>
      <c r="Y63" s="143"/>
      <c r="Z63" s="49"/>
      <c r="AA63" s="50"/>
      <c r="AB63" s="49"/>
      <c r="AC63" s="143" t="s">
        <v>133</v>
      </c>
      <c r="AD63" s="90"/>
    </row>
    <row r="64" spans="1:30" ht="14.1" customHeight="1">
      <c r="A64" s="33"/>
      <c r="B64" s="33"/>
      <c r="C64" s="33"/>
      <c r="D64" s="135"/>
      <c r="E64" s="30"/>
      <c r="F64" s="30"/>
      <c r="G64" s="30"/>
      <c r="H64" s="30"/>
      <c r="I64" s="30"/>
      <c r="J64" s="30"/>
      <c r="K64" s="135"/>
      <c r="L64" s="30"/>
      <c r="M64" s="30"/>
      <c r="N64" s="30"/>
      <c r="O64" s="30"/>
      <c r="P64" s="30"/>
      <c r="T64" s="34" t="s">
        <v>58</v>
      </c>
      <c r="U64" s="35"/>
      <c r="V64" s="44">
        <v>9</v>
      </c>
      <c r="W64" s="37"/>
      <c r="X64" s="37"/>
      <c r="Y64" s="37"/>
      <c r="Z64" s="39"/>
      <c r="AA64" s="40"/>
      <c r="AB64" s="49"/>
      <c r="AC64" s="41">
        <v>101</v>
      </c>
      <c r="AD64" s="90"/>
    </row>
    <row r="65" spans="1:38" ht="14.1" customHeight="1">
      <c r="A65" s="33"/>
      <c r="B65" s="33"/>
      <c r="C65" s="33"/>
      <c r="D65" s="135"/>
      <c r="E65" s="30"/>
      <c r="F65" s="30"/>
      <c r="G65" s="30"/>
      <c r="H65" s="30"/>
      <c r="I65" s="30"/>
      <c r="J65" s="30"/>
      <c r="K65" s="135"/>
      <c r="L65" s="30"/>
      <c r="M65" s="30"/>
      <c r="N65" s="30"/>
      <c r="O65" s="30"/>
      <c r="P65" s="30"/>
      <c r="T65" s="34" t="s">
        <v>61</v>
      </c>
      <c r="U65" s="35"/>
      <c r="V65" s="44">
        <v>186</v>
      </c>
      <c r="W65" s="37"/>
      <c r="X65" s="37"/>
      <c r="Y65" s="37"/>
      <c r="Z65" s="39"/>
      <c r="AA65" s="40"/>
      <c r="AB65" s="49"/>
      <c r="AC65" s="41">
        <v>1368</v>
      </c>
      <c r="AD65" s="90"/>
    </row>
    <row r="66" spans="1:38" ht="14.1" customHeight="1">
      <c r="A66" s="33"/>
      <c r="B66" s="33"/>
      <c r="C66" s="33"/>
      <c r="D66" s="135"/>
      <c r="E66" s="30"/>
      <c r="F66" s="30"/>
      <c r="G66" s="30"/>
      <c r="H66" s="30"/>
      <c r="I66" s="30"/>
      <c r="J66" s="30"/>
      <c r="K66" s="135"/>
      <c r="L66" s="30"/>
      <c r="M66" s="30"/>
      <c r="N66" s="30"/>
      <c r="O66" s="30"/>
      <c r="P66" s="30"/>
      <c r="T66" s="34" t="s">
        <v>59</v>
      </c>
      <c r="U66" s="35"/>
      <c r="V66" s="44">
        <v>5</v>
      </c>
      <c r="W66" s="37"/>
      <c r="X66" s="37"/>
      <c r="Y66" s="37"/>
      <c r="Z66" s="39"/>
      <c r="AA66" s="40"/>
      <c r="AB66" s="49"/>
      <c r="AC66" s="41">
        <v>52</v>
      </c>
      <c r="AD66" s="90"/>
    </row>
    <row r="67" spans="1:38" ht="14.1" customHeight="1">
      <c r="A67" s="33"/>
      <c r="B67" s="33"/>
      <c r="C67" s="33"/>
      <c r="D67" s="135"/>
      <c r="E67" s="30"/>
      <c r="F67" s="30"/>
      <c r="G67" s="30"/>
      <c r="H67" s="30"/>
      <c r="I67" s="30"/>
      <c r="J67" s="30"/>
      <c r="K67" s="60"/>
      <c r="L67" s="30"/>
      <c r="M67" s="30"/>
      <c r="N67" s="30"/>
      <c r="O67" s="30"/>
      <c r="P67" s="30"/>
      <c r="T67" s="34" t="s">
        <v>60</v>
      </c>
      <c r="U67" s="35"/>
      <c r="V67" s="44">
        <v>5</v>
      </c>
      <c r="W67" s="37"/>
      <c r="X67" s="37"/>
      <c r="Y67" s="37"/>
      <c r="Z67" s="39"/>
      <c r="AA67" s="40"/>
      <c r="AB67" s="39"/>
      <c r="AC67" s="41">
        <v>5</v>
      </c>
      <c r="AD67" s="82"/>
    </row>
    <row r="68" spans="1:38" ht="14.1" customHeight="1">
      <c r="A68" s="33"/>
      <c r="B68" s="33"/>
      <c r="C68" s="33"/>
      <c r="D68" s="135"/>
      <c r="E68" s="30"/>
      <c r="F68" s="30"/>
      <c r="G68" s="30"/>
      <c r="H68" s="30"/>
      <c r="I68" s="30"/>
      <c r="J68" s="30"/>
      <c r="K68" s="60"/>
      <c r="L68" s="30"/>
      <c r="M68" s="30"/>
      <c r="N68" s="30"/>
      <c r="O68" s="30"/>
      <c r="P68" s="30"/>
      <c r="T68" s="34" t="s">
        <v>5</v>
      </c>
      <c r="U68" s="35"/>
      <c r="V68" s="44">
        <v>114</v>
      </c>
      <c r="W68" s="37"/>
      <c r="X68" s="37"/>
      <c r="Y68" s="37"/>
      <c r="Z68" s="39"/>
      <c r="AA68" s="40"/>
      <c r="AB68" s="39"/>
      <c r="AC68" s="41">
        <v>945</v>
      </c>
      <c r="AD68" s="82"/>
    </row>
    <row r="69" spans="1:38" ht="14.1" customHeight="1">
      <c r="A69" s="33"/>
      <c r="B69" s="33"/>
      <c r="C69" s="33"/>
      <c r="D69" s="135"/>
      <c r="E69" s="30"/>
      <c r="F69" s="30"/>
      <c r="G69" s="30"/>
      <c r="H69" s="30"/>
      <c r="I69" s="30"/>
      <c r="J69" s="30"/>
      <c r="K69" s="60"/>
      <c r="L69" s="30"/>
      <c r="M69" s="30"/>
      <c r="N69" s="30"/>
      <c r="O69" s="30"/>
      <c r="P69" s="30"/>
      <c r="T69" s="34" t="s">
        <v>168</v>
      </c>
      <c r="U69" s="35"/>
      <c r="V69" s="44"/>
      <c r="W69" s="37"/>
      <c r="X69" s="37"/>
      <c r="Y69" s="37"/>
      <c r="Z69" s="39"/>
      <c r="AA69" s="40"/>
      <c r="AB69" s="39"/>
      <c r="AC69" s="308" t="s">
        <v>326</v>
      </c>
      <c r="AD69" s="82"/>
    </row>
    <row r="70" spans="1:38" ht="14.1" customHeight="1">
      <c r="A70" s="33"/>
      <c r="B70" s="59"/>
      <c r="C70" s="59"/>
      <c r="D70" s="60"/>
      <c r="E70" s="30"/>
      <c r="F70" s="30"/>
      <c r="G70" s="30"/>
      <c r="H70" s="30"/>
      <c r="I70" s="30"/>
      <c r="J70" s="30"/>
      <c r="K70" s="60"/>
      <c r="L70" s="30"/>
      <c r="M70" s="30"/>
      <c r="N70" s="30"/>
      <c r="O70" s="30"/>
      <c r="P70" s="30"/>
      <c r="T70" s="52" t="s">
        <v>47</v>
      </c>
      <c r="U70" s="53"/>
      <c r="V70" s="93">
        <f>SUM(V59:V69)</f>
        <v>487</v>
      </c>
      <c r="W70" s="54">
        <v>290</v>
      </c>
      <c r="X70" s="54">
        <v>91</v>
      </c>
      <c r="Y70" s="54">
        <v>60</v>
      </c>
      <c r="Z70" s="55">
        <v>21</v>
      </c>
      <c r="AA70" s="56">
        <v>24</v>
      </c>
      <c r="AB70" s="55"/>
      <c r="AC70" s="57">
        <f>SUM(AC59:AC69)</f>
        <v>4331</v>
      </c>
      <c r="AD70" s="84"/>
    </row>
    <row r="71" spans="1:38" ht="14.1" customHeight="1">
      <c r="B71" s="139"/>
      <c r="C71" s="59"/>
      <c r="D71" s="60"/>
      <c r="E71" s="30"/>
      <c r="F71" s="30"/>
      <c r="G71" s="30"/>
      <c r="H71" s="30"/>
      <c r="I71" s="30"/>
      <c r="J71" s="30"/>
      <c r="K71" s="60"/>
      <c r="L71" s="30"/>
      <c r="M71" s="30"/>
      <c r="N71" s="30"/>
      <c r="O71" s="30"/>
      <c r="P71" s="30"/>
      <c r="Q71" s="114"/>
      <c r="S71" s="33"/>
      <c r="T71" s="1" t="s">
        <v>435</v>
      </c>
      <c r="AD71" s="114" t="s">
        <v>169</v>
      </c>
      <c r="AE71" s="33"/>
      <c r="AF71" s="33"/>
      <c r="AL71" s="33"/>
    </row>
    <row r="72" spans="1:38" ht="14.1" customHeight="1">
      <c r="B72" s="139"/>
      <c r="C72" s="59"/>
      <c r="D72" s="60"/>
      <c r="E72" s="30"/>
      <c r="F72" s="30"/>
      <c r="G72" s="30"/>
      <c r="H72" s="30"/>
      <c r="I72" s="30"/>
      <c r="J72" s="30"/>
      <c r="K72" s="60"/>
      <c r="L72" s="30"/>
      <c r="M72" s="30"/>
      <c r="N72" s="30"/>
      <c r="O72" s="30"/>
      <c r="P72" s="30"/>
      <c r="Q72" s="114"/>
      <c r="S72" s="33"/>
      <c r="T72" s="1" t="s">
        <v>434</v>
      </c>
      <c r="AD72" s="114"/>
      <c r="AE72" s="33"/>
      <c r="AF72" s="33"/>
      <c r="AL72" s="33"/>
    </row>
    <row r="73" spans="1:38" ht="11.25" customHeight="1">
      <c r="A73" s="33"/>
      <c r="B73" s="33"/>
      <c r="C73" s="33"/>
      <c r="D73" s="33"/>
      <c r="E73" s="33"/>
      <c r="F73" s="33"/>
      <c r="G73" s="33"/>
      <c r="H73" s="33"/>
      <c r="I73" s="33"/>
      <c r="J73" s="33"/>
      <c r="K73" s="33"/>
      <c r="L73" s="33"/>
      <c r="M73" s="33"/>
      <c r="N73" s="33"/>
      <c r="O73" s="33"/>
      <c r="P73" s="33"/>
      <c r="Q73" s="33"/>
    </row>
    <row r="74" spans="1:38" ht="5.0999999999999996" customHeight="1">
      <c r="A74" s="33"/>
      <c r="B74" s="33"/>
      <c r="C74" s="33"/>
      <c r="D74" s="33"/>
      <c r="E74" s="33"/>
      <c r="F74" s="33"/>
      <c r="G74" s="33"/>
      <c r="H74" s="33"/>
      <c r="I74" s="33"/>
      <c r="J74" s="33"/>
      <c r="K74" s="33"/>
      <c r="L74" s="33"/>
      <c r="M74" s="33"/>
      <c r="N74" s="33"/>
      <c r="O74" s="33"/>
      <c r="P74" s="33"/>
      <c r="Q74" s="33"/>
    </row>
    <row r="75" spans="1:38" ht="5.0999999999999996" customHeight="1">
      <c r="A75" s="33"/>
      <c r="B75" s="33"/>
      <c r="C75" s="33"/>
      <c r="D75" s="33"/>
      <c r="E75" s="33"/>
      <c r="F75" s="33"/>
      <c r="G75" s="33"/>
      <c r="H75" s="33"/>
      <c r="I75" s="33"/>
      <c r="J75" s="33"/>
      <c r="K75" s="33"/>
      <c r="L75" s="33"/>
      <c r="M75" s="33"/>
      <c r="N75" s="33"/>
      <c r="O75" s="33"/>
      <c r="P75" s="33"/>
      <c r="Q75" s="33"/>
    </row>
    <row r="76" spans="1:38" ht="14.1" customHeight="1">
      <c r="T76" s="2"/>
      <c r="U76" s="3"/>
      <c r="V76" s="6" t="s">
        <v>128</v>
      </c>
      <c r="W76" s="4"/>
      <c r="X76" s="4"/>
      <c r="Y76" s="4"/>
      <c r="Z76" s="4"/>
      <c r="AA76" s="5"/>
      <c r="AB76" s="4"/>
      <c r="AC76" s="7"/>
      <c r="AD76" s="88"/>
    </row>
    <row r="77" spans="1:38" ht="14.1" customHeight="1">
      <c r="T77" s="8" t="s">
        <v>8</v>
      </c>
      <c r="U77" s="9"/>
      <c r="V77" s="10" t="s">
        <v>9</v>
      </c>
      <c r="W77" s="11" t="s">
        <v>111</v>
      </c>
      <c r="X77" s="12"/>
      <c r="Y77" s="12"/>
      <c r="Z77" s="12"/>
      <c r="AA77" s="13"/>
      <c r="AB77" s="694" t="s">
        <v>297</v>
      </c>
      <c r="AC77" s="14" t="s">
        <v>12</v>
      </c>
      <c r="AD77" s="15" t="s">
        <v>298</v>
      </c>
    </row>
    <row r="78" spans="1:38" ht="14.1" customHeight="1">
      <c r="T78" s="16"/>
      <c r="U78" s="17"/>
      <c r="V78" s="22"/>
      <c r="W78" s="64" t="s">
        <v>54</v>
      </c>
      <c r="X78" s="64" t="s">
        <v>55</v>
      </c>
      <c r="Y78" s="64" t="s">
        <v>56</v>
      </c>
      <c r="Z78" s="20" t="s">
        <v>57</v>
      </c>
      <c r="AA78" s="65" t="s">
        <v>53</v>
      </c>
      <c r="AB78" s="695"/>
      <c r="AC78" s="18" t="s">
        <v>13</v>
      </c>
      <c r="AD78" s="301" t="s">
        <v>322</v>
      </c>
    </row>
    <row r="79" spans="1:38" ht="14.1" customHeight="1">
      <c r="T79" s="24" t="s">
        <v>14</v>
      </c>
      <c r="U79" s="25"/>
      <c r="V79" s="31">
        <v>2</v>
      </c>
      <c r="W79" s="27"/>
      <c r="X79" s="27"/>
      <c r="Y79" s="27"/>
      <c r="Z79" s="28"/>
      <c r="AA79" s="29"/>
      <c r="AB79" s="152"/>
      <c r="AC79" s="30">
        <v>17</v>
      </c>
      <c r="AD79" s="147"/>
    </row>
    <row r="80" spans="1:38" ht="14.1" customHeight="1">
      <c r="T80" s="34" t="s">
        <v>1</v>
      </c>
      <c r="U80" s="35"/>
      <c r="V80" s="42">
        <v>1</v>
      </c>
      <c r="W80" s="37"/>
      <c r="X80" s="38"/>
      <c r="Y80" s="37"/>
      <c r="Z80" s="39"/>
      <c r="AA80" s="40"/>
      <c r="AB80" s="157"/>
      <c r="AC80" s="41">
        <v>28</v>
      </c>
      <c r="AD80" s="172"/>
    </row>
    <row r="81" spans="1:38" ht="14.1" customHeight="1">
      <c r="T81" s="34" t="s">
        <v>2</v>
      </c>
      <c r="U81" s="35"/>
      <c r="V81" s="42">
        <v>90</v>
      </c>
      <c r="W81" s="37"/>
      <c r="X81" s="37"/>
      <c r="Y81" s="37"/>
      <c r="Z81" s="39"/>
      <c r="AA81" s="40"/>
      <c r="AB81" s="39"/>
      <c r="AC81" s="41">
        <v>423</v>
      </c>
      <c r="AD81" s="82"/>
    </row>
    <row r="82" spans="1:38" ht="14.1" customHeight="1">
      <c r="T82" s="34" t="s">
        <v>3</v>
      </c>
      <c r="U82" s="35"/>
      <c r="V82" s="140">
        <v>84</v>
      </c>
      <c r="W82" s="37"/>
      <c r="X82" s="37"/>
      <c r="Y82" s="37"/>
      <c r="Z82" s="39"/>
      <c r="AA82" s="40"/>
      <c r="AB82" s="49"/>
      <c r="AC82" s="41">
        <v>1558</v>
      </c>
      <c r="AD82" s="90"/>
    </row>
    <row r="83" spans="1:38" ht="14.1" customHeight="1">
      <c r="T83" s="34" t="s">
        <v>324</v>
      </c>
      <c r="U83" s="35"/>
      <c r="V83" s="144">
        <v>1</v>
      </c>
      <c r="W83" s="143"/>
      <c r="X83" s="143"/>
      <c r="Y83" s="143"/>
      <c r="Z83" s="49"/>
      <c r="AA83" s="50"/>
      <c r="AB83" s="49"/>
      <c r="AC83" s="143">
        <v>15</v>
      </c>
      <c r="AD83" s="90"/>
    </row>
    <row r="84" spans="1:38" ht="14.1" customHeight="1">
      <c r="T84" s="34" t="s">
        <v>58</v>
      </c>
      <c r="U84" s="35"/>
      <c r="V84" s="145">
        <v>10</v>
      </c>
      <c r="W84" s="37"/>
      <c r="X84" s="37"/>
      <c r="Y84" s="37"/>
      <c r="Z84" s="39"/>
      <c r="AA84" s="40"/>
      <c r="AB84" s="49"/>
      <c r="AC84" s="41">
        <v>115</v>
      </c>
      <c r="AD84" s="90"/>
    </row>
    <row r="85" spans="1:38" ht="14.1" customHeight="1">
      <c r="T85" s="34" t="s">
        <v>61</v>
      </c>
      <c r="U85" s="35"/>
      <c r="V85" s="145">
        <v>199</v>
      </c>
      <c r="W85" s="37"/>
      <c r="X85" s="37"/>
      <c r="Y85" s="37"/>
      <c r="Z85" s="39"/>
      <c r="AA85" s="40"/>
      <c r="AB85" s="49"/>
      <c r="AC85" s="41">
        <v>1520</v>
      </c>
      <c r="AD85" s="90"/>
    </row>
    <row r="86" spans="1:38" ht="14.1" customHeight="1">
      <c r="T86" s="34" t="s">
        <v>59</v>
      </c>
      <c r="U86" s="35"/>
      <c r="V86" s="145">
        <v>7</v>
      </c>
      <c r="W86" s="37"/>
      <c r="X86" s="37"/>
      <c r="Y86" s="37"/>
      <c r="Z86" s="39"/>
      <c r="AA86" s="40"/>
      <c r="AB86" s="49"/>
      <c r="AC86" s="41">
        <v>61</v>
      </c>
      <c r="AD86" s="90"/>
    </row>
    <row r="87" spans="1:38" ht="14.1" customHeight="1">
      <c r="T87" s="34" t="s">
        <v>60</v>
      </c>
      <c r="U87" s="35"/>
      <c r="V87" s="45">
        <v>6</v>
      </c>
      <c r="W87" s="37"/>
      <c r="X87" s="37"/>
      <c r="Y87" s="37"/>
      <c r="Z87" s="39"/>
      <c r="AA87" s="40"/>
      <c r="AB87" s="39"/>
      <c r="AC87" s="41">
        <v>13</v>
      </c>
      <c r="AD87" s="82"/>
    </row>
    <row r="88" spans="1:38" ht="14.1" customHeight="1">
      <c r="T88" s="34" t="s">
        <v>5</v>
      </c>
      <c r="U88" s="35"/>
      <c r="V88" s="45">
        <v>149</v>
      </c>
      <c r="W88" s="37"/>
      <c r="X88" s="37"/>
      <c r="Y88" s="37"/>
      <c r="Z88" s="39"/>
      <c r="AA88" s="40"/>
      <c r="AB88" s="39"/>
      <c r="AC88" s="41">
        <v>1315</v>
      </c>
      <c r="AD88" s="82"/>
    </row>
    <row r="89" spans="1:38" ht="14.1" customHeight="1">
      <c r="T89" s="34" t="s">
        <v>168</v>
      </c>
      <c r="U89" s="35"/>
      <c r="V89" s="45">
        <v>8</v>
      </c>
      <c r="W89" s="37"/>
      <c r="X89" s="37"/>
      <c r="Y89" s="37"/>
      <c r="Z89" s="39"/>
      <c r="AA89" s="40"/>
      <c r="AB89" s="39"/>
      <c r="AC89" s="41">
        <v>103</v>
      </c>
      <c r="AD89" s="82"/>
    </row>
    <row r="90" spans="1:38" ht="14.1" customHeight="1">
      <c r="T90" s="52" t="s">
        <v>47</v>
      </c>
      <c r="U90" s="53"/>
      <c r="V90" s="93">
        <f>SUM(V79:V89)</f>
        <v>557</v>
      </c>
      <c r="W90" s="54">
        <v>323</v>
      </c>
      <c r="X90" s="54">
        <v>104</v>
      </c>
      <c r="Y90" s="54">
        <v>53</v>
      </c>
      <c r="Z90" s="55">
        <v>22</v>
      </c>
      <c r="AA90" s="56">
        <v>29</v>
      </c>
      <c r="AB90" s="55"/>
      <c r="AC90" s="57">
        <f>SUM(AC79:AC89)</f>
        <v>5168</v>
      </c>
      <c r="AD90" s="84"/>
    </row>
    <row r="91" spans="1:38" ht="14.1" customHeight="1">
      <c r="B91" s="139"/>
      <c r="C91" s="59"/>
      <c r="D91" s="60"/>
      <c r="E91" s="30"/>
      <c r="F91" s="30"/>
      <c r="G91" s="30"/>
      <c r="H91" s="30"/>
      <c r="I91" s="30"/>
      <c r="J91" s="30"/>
      <c r="K91" s="60"/>
      <c r="L91" s="30"/>
      <c r="M91" s="30"/>
      <c r="N91" s="30"/>
      <c r="O91" s="30"/>
      <c r="P91" s="30"/>
      <c r="Q91" s="114"/>
      <c r="S91" s="33"/>
      <c r="AD91" s="114" t="s">
        <v>169</v>
      </c>
      <c r="AE91" s="33"/>
      <c r="AF91" s="33"/>
      <c r="AL91" s="33"/>
    </row>
    <row r="92" spans="1:38" ht="13.5" customHeight="1">
      <c r="A92" s="33"/>
      <c r="B92" s="33"/>
      <c r="C92" s="33"/>
      <c r="D92" s="33"/>
      <c r="E92" s="33"/>
      <c r="F92" s="33"/>
      <c r="G92" s="33"/>
      <c r="H92" s="33"/>
      <c r="I92" s="33"/>
      <c r="J92" s="33"/>
      <c r="K92" s="33"/>
      <c r="L92" s="33"/>
      <c r="M92" s="33"/>
      <c r="N92" s="33"/>
      <c r="O92" s="33"/>
      <c r="P92" s="33"/>
      <c r="Q92" s="33"/>
    </row>
    <row r="93" spans="1:38" ht="13.5" customHeight="1">
      <c r="A93" s="33"/>
      <c r="B93" s="33"/>
      <c r="C93" s="33"/>
      <c r="D93" s="33"/>
      <c r="E93" s="33"/>
      <c r="F93" s="33"/>
      <c r="G93" s="33"/>
      <c r="H93" s="33"/>
      <c r="I93" s="33"/>
      <c r="J93" s="33"/>
      <c r="K93" s="33"/>
      <c r="L93" s="33"/>
      <c r="M93" s="33"/>
      <c r="N93" s="33"/>
      <c r="O93" s="33"/>
      <c r="P93" s="33"/>
      <c r="Q93" s="33"/>
    </row>
    <row r="94" spans="1:38" ht="13.5" customHeight="1">
      <c r="A94" s="33"/>
      <c r="B94" s="33"/>
      <c r="C94" s="33"/>
      <c r="D94" s="33"/>
      <c r="E94" s="33"/>
      <c r="F94" s="33"/>
      <c r="G94" s="33"/>
      <c r="H94" s="33"/>
      <c r="I94" s="33"/>
      <c r="J94" s="33"/>
      <c r="K94" s="33"/>
      <c r="L94" s="33"/>
      <c r="M94" s="33"/>
      <c r="N94" s="33"/>
      <c r="O94" s="33"/>
      <c r="P94" s="33"/>
      <c r="Q94" s="33"/>
    </row>
    <row r="95" spans="1:38" ht="13.5" customHeight="1">
      <c r="A95" s="33"/>
      <c r="B95" s="33"/>
      <c r="C95" s="33"/>
      <c r="D95" s="33"/>
      <c r="E95" s="33"/>
      <c r="F95" s="33"/>
      <c r="G95" s="33"/>
      <c r="H95" s="33"/>
      <c r="I95" s="33"/>
      <c r="J95" s="33"/>
      <c r="K95" s="33"/>
      <c r="L95" s="33"/>
      <c r="M95" s="33"/>
      <c r="N95" s="33"/>
      <c r="O95" s="33"/>
      <c r="P95" s="33"/>
      <c r="Q95" s="33"/>
    </row>
    <row r="96" spans="1:38" ht="13.5" customHeight="1">
      <c r="A96" s="33"/>
      <c r="B96" s="33"/>
      <c r="C96" s="33"/>
      <c r="D96" s="33"/>
      <c r="E96" s="33"/>
      <c r="F96" s="33"/>
      <c r="G96" s="33"/>
      <c r="H96" s="33"/>
      <c r="I96" s="33"/>
      <c r="J96" s="33"/>
      <c r="K96" s="33"/>
      <c r="L96" s="33"/>
      <c r="M96" s="33"/>
      <c r="N96" s="33"/>
      <c r="O96" s="33"/>
      <c r="P96" s="33"/>
      <c r="Q96" s="33"/>
    </row>
    <row r="97" spans="1:17" ht="13.5" customHeight="1">
      <c r="A97" s="33"/>
      <c r="B97" s="33"/>
      <c r="C97" s="33"/>
      <c r="D97" s="33"/>
      <c r="E97" s="33"/>
      <c r="F97" s="33"/>
      <c r="G97" s="33"/>
      <c r="H97" s="33"/>
      <c r="I97" s="33"/>
      <c r="J97" s="33"/>
      <c r="K97" s="33"/>
      <c r="L97" s="33"/>
      <c r="M97" s="33"/>
      <c r="N97" s="33"/>
      <c r="O97" s="33"/>
      <c r="P97" s="33"/>
      <c r="Q97" s="33"/>
    </row>
    <row r="98" spans="1:17" ht="13.5" customHeight="1">
      <c r="A98" s="33"/>
      <c r="B98" s="33"/>
      <c r="C98" s="33"/>
      <c r="D98" s="33"/>
      <c r="E98" s="33"/>
      <c r="F98" s="33"/>
      <c r="G98" s="33"/>
      <c r="H98" s="33"/>
      <c r="I98" s="33"/>
      <c r="J98" s="33"/>
      <c r="K98" s="33"/>
      <c r="L98" s="33"/>
      <c r="M98" s="33"/>
      <c r="N98" s="33"/>
      <c r="O98" s="33"/>
      <c r="P98" s="33"/>
      <c r="Q98" s="33"/>
    </row>
    <row r="99" spans="1:17" ht="13.5" customHeight="1">
      <c r="A99" s="33"/>
      <c r="B99" s="33"/>
      <c r="C99" s="33"/>
      <c r="D99" s="33"/>
      <c r="E99" s="33"/>
      <c r="F99" s="33"/>
      <c r="G99" s="33"/>
      <c r="H99" s="33"/>
      <c r="I99" s="33"/>
      <c r="J99" s="33"/>
      <c r="K99" s="33"/>
      <c r="L99" s="33"/>
      <c r="M99" s="33"/>
      <c r="N99" s="33"/>
      <c r="O99" s="33"/>
      <c r="P99" s="33"/>
      <c r="Q99" s="33"/>
    </row>
    <row r="100" spans="1:17" ht="13.5" customHeight="1">
      <c r="A100" s="33"/>
      <c r="B100" s="33"/>
      <c r="C100" s="33"/>
      <c r="D100" s="33"/>
      <c r="E100" s="33"/>
      <c r="F100" s="33"/>
      <c r="G100" s="33"/>
      <c r="H100" s="33"/>
      <c r="I100" s="33"/>
      <c r="J100" s="33"/>
      <c r="K100" s="33"/>
      <c r="L100" s="33"/>
      <c r="M100" s="33"/>
      <c r="N100" s="33"/>
      <c r="O100" s="33"/>
      <c r="P100" s="33"/>
      <c r="Q100" s="33"/>
    </row>
    <row r="101" spans="1:17" ht="13.5" customHeight="1">
      <c r="A101" s="33"/>
      <c r="B101" s="33"/>
      <c r="C101" s="33"/>
      <c r="D101" s="33"/>
      <c r="E101" s="33"/>
      <c r="F101" s="33"/>
      <c r="G101" s="33"/>
      <c r="H101" s="33"/>
      <c r="I101" s="33"/>
      <c r="J101" s="33"/>
      <c r="K101" s="33"/>
      <c r="L101" s="33"/>
      <c r="M101" s="33"/>
      <c r="N101" s="33"/>
      <c r="O101" s="33"/>
      <c r="P101" s="33"/>
      <c r="Q101" s="33"/>
    </row>
    <row r="102" spans="1:17" ht="13.5" customHeight="1">
      <c r="A102" s="33"/>
      <c r="B102" s="33"/>
      <c r="C102" s="33"/>
      <c r="D102" s="33"/>
      <c r="E102" s="33"/>
      <c r="F102" s="33"/>
      <c r="G102" s="33"/>
      <c r="H102" s="33"/>
      <c r="I102" s="33"/>
      <c r="J102" s="33"/>
      <c r="K102" s="33"/>
      <c r="L102" s="33"/>
      <c r="M102" s="33"/>
      <c r="N102" s="33"/>
      <c r="O102" s="33"/>
      <c r="P102" s="33"/>
      <c r="Q102" s="33"/>
    </row>
    <row r="103" spans="1:17" ht="13.5" customHeight="1">
      <c r="A103" s="33"/>
      <c r="B103" s="33"/>
      <c r="C103" s="33"/>
      <c r="D103" s="33"/>
      <c r="E103" s="33"/>
      <c r="F103" s="33"/>
      <c r="G103" s="33"/>
      <c r="H103" s="33"/>
      <c r="I103" s="33"/>
      <c r="J103" s="33"/>
      <c r="K103" s="33"/>
      <c r="L103" s="33"/>
      <c r="M103" s="33"/>
      <c r="N103" s="33"/>
      <c r="O103" s="33"/>
      <c r="P103" s="33"/>
      <c r="Q103" s="33"/>
    </row>
    <row r="104" spans="1:17" ht="13.5" customHeight="1">
      <c r="A104" s="33"/>
      <c r="B104" s="33"/>
      <c r="C104" s="33"/>
      <c r="D104" s="33"/>
      <c r="E104" s="33"/>
      <c r="F104" s="33"/>
      <c r="G104" s="33"/>
      <c r="H104" s="33"/>
      <c r="I104" s="33"/>
      <c r="J104" s="33"/>
      <c r="K104" s="33"/>
      <c r="L104" s="33"/>
      <c r="M104" s="33"/>
      <c r="N104" s="33"/>
      <c r="O104" s="33"/>
      <c r="P104" s="33"/>
      <c r="Q104" s="33"/>
    </row>
    <row r="105" spans="1:17" ht="13.5" customHeight="1">
      <c r="A105" s="33"/>
      <c r="B105" s="33"/>
      <c r="C105" s="33"/>
      <c r="D105" s="33"/>
      <c r="E105" s="33"/>
      <c r="F105" s="33"/>
      <c r="G105" s="33"/>
      <c r="H105" s="33"/>
      <c r="I105" s="33"/>
      <c r="J105" s="33"/>
      <c r="K105" s="33"/>
      <c r="L105" s="33"/>
      <c r="M105" s="33"/>
      <c r="N105" s="33"/>
      <c r="O105" s="33"/>
      <c r="P105" s="33"/>
      <c r="Q105" s="33"/>
    </row>
    <row r="106" spans="1:17" ht="13.5" customHeight="1">
      <c r="A106" s="33"/>
      <c r="B106" s="33"/>
      <c r="C106" s="33"/>
      <c r="D106" s="33"/>
      <c r="E106" s="33"/>
      <c r="F106" s="33"/>
      <c r="G106" s="33"/>
      <c r="H106" s="33"/>
      <c r="I106" s="33"/>
      <c r="J106" s="33"/>
      <c r="K106" s="33"/>
      <c r="L106" s="33"/>
      <c r="M106" s="33"/>
      <c r="N106" s="33"/>
      <c r="O106" s="33"/>
      <c r="P106" s="33"/>
      <c r="Q106" s="33"/>
    </row>
    <row r="107" spans="1:17" ht="13.5" customHeight="1">
      <c r="A107" s="33"/>
      <c r="B107" s="33"/>
      <c r="C107" s="33"/>
      <c r="D107" s="33"/>
      <c r="E107" s="33"/>
      <c r="F107" s="33"/>
      <c r="G107" s="33"/>
      <c r="H107" s="33"/>
      <c r="I107" s="33"/>
      <c r="J107" s="33"/>
      <c r="K107" s="33"/>
      <c r="L107" s="33"/>
      <c r="M107" s="33"/>
      <c r="N107" s="33"/>
      <c r="O107" s="33"/>
      <c r="P107" s="33"/>
      <c r="Q107" s="33"/>
    </row>
    <row r="108" spans="1:17" ht="9" customHeight="1">
      <c r="A108" s="33"/>
      <c r="B108" s="33"/>
      <c r="C108" s="33"/>
      <c r="D108" s="33"/>
      <c r="E108" s="33"/>
      <c r="F108" s="33"/>
      <c r="G108" s="33"/>
      <c r="H108" s="33"/>
      <c r="I108" s="33"/>
      <c r="J108" s="33"/>
      <c r="K108" s="33"/>
      <c r="L108" s="33"/>
      <c r="M108" s="33"/>
      <c r="N108" s="33"/>
      <c r="O108" s="33"/>
      <c r="P108" s="33"/>
      <c r="Q108" s="33"/>
    </row>
    <row r="109" spans="1:17" ht="13.5" customHeight="1">
      <c r="A109" s="33"/>
      <c r="B109" s="33"/>
      <c r="C109" s="33"/>
      <c r="D109" s="33"/>
      <c r="E109" s="33"/>
      <c r="F109" s="33"/>
      <c r="G109" s="33"/>
      <c r="H109" s="33"/>
      <c r="I109" s="33"/>
      <c r="J109" s="33"/>
      <c r="K109" s="33"/>
      <c r="L109" s="33"/>
      <c r="M109" s="33"/>
      <c r="N109" s="33"/>
      <c r="O109" s="33"/>
      <c r="P109" s="33"/>
      <c r="Q109" s="33"/>
    </row>
    <row r="110" spans="1:17" ht="13.5" customHeight="1">
      <c r="A110" s="33"/>
      <c r="B110" s="33"/>
      <c r="C110" s="33"/>
      <c r="D110" s="33"/>
      <c r="E110" s="33"/>
      <c r="F110" s="33"/>
      <c r="G110" s="33"/>
      <c r="H110" s="33"/>
      <c r="I110" s="33"/>
      <c r="J110" s="33"/>
      <c r="K110" s="33"/>
      <c r="L110" s="33"/>
      <c r="M110" s="33"/>
      <c r="N110" s="33"/>
      <c r="O110" s="33"/>
      <c r="P110" s="33"/>
      <c r="Q110" s="33"/>
    </row>
    <row r="111" spans="1:17" ht="5.0999999999999996" customHeight="1">
      <c r="A111" s="33"/>
      <c r="B111" s="33"/>
      <c r="C111" s="33"/>
      <c r="D111" s="33"/>
      <c r="E111" s="33"/>
      <c r="F111" s="33"/>
      <c r="G111" s="33"/>
      <c r="H111" s="33"/>
      <c r="I111" s="33"/>
      <c r="J111" s="33"/>
      <c r="K111" s="33"/>
      <c r="L111" s="33"/>
      <c r="M111" s="33"/>
      <c r="N111" s="33"/>
      <c r="O111" s="33"/>
      <c r="P111" s="33"/>
      <c r="Q111" s="33"/>
    </row>
    <row r="112" spans="1:17" ht="5.0999999999999996" customHeight="1">
      <c r="A112" s="33"/>
      <c r="B112" s="33"/>
      <c r="C112" s="33"/>
      <c r="D112" s="33"/>
      <c r="E112" s="33"/>
      <c r="F112" s="33"/>
      <c r="G112" s="33"/>
      <c r="H112" s="33"/>
      <c r="I112" s="33"/>
      <c r="J112" s="33"/>
      <c r="K112" s="33"/>
      <c r="L112" s="33"/>
      <c r="M112" s="33"/>
      <c r="N112" s="33"/>
      <c r="O112" s="33"/>
      <c r="P112" s="33"/>
      <c r="Q112" s="33"/>
    </row>
    <row r="113" spans="20:30" ht="15.95" customHeight="1">
      <c r="T113" s="2"/>
      <c r="U113" s="3"/>
      <c r="V113" s="6" t="s">
        <v>300</v>
      </c>
      <c r="W113" s="4"/>
      <c r="X113" s="4"/>
      <c r="Y113" s="4"/>
      <c r="Z113" s="4"/>
      <c r="AA113" s="5"/>
      <c r="AB113" s="4"/>
      <c r="AC113" s="7"/>
      <c r="AD113" s="88"/>
    </row>
    <row r="114" spans="20:30" ht="15.95" customHeight="1">
      <c r="T114" s="8" t="s">
        <v>8</v>
      </c>
      <c r="U114" s="9"/>
      <c r="V114" s="10" t="s">
        <v>9</v>
      </c>
      <c r="W114" s="11" t="s">
        <v>111</v>
      </c>
      <c r="X114" s="12"/>
      <c r="Y114" s="12"/>
      <c r="Z114" s="12"/>
      <c r="AA114" s="13"/>
      <c r="AB114" s="694" t="s">
        <v>297</v>
      </c>
      <c r="AC114" s="14" t="s">
        <v>12</v>
      </c>
      <c r="AD114" s="15" t="s">
        <v>298</v>
      </c>
    </row>
    <row r="115" spans="20:30" ht="15.95" customHeight="1">
      <c r="T115" s="16"/>
      <c r="U115" s="17"/>
      <c r="V115" s="22"/>
      <c r="W115" s="64" t="s">
        <v>51</v>
      </c>
      <c r="X115" s="64" t="s">
        <v>55</v>
      </c>
      <c r="Y115" s="64" t="s">
        <v>56</v>
      </c>
      <c r="Z115" s="20" t="s">
        <v>57</v>
      </c>
      <c r="AA115" s="65" t="s">
        <v>53</v>
      </c>
      <c r="AB115" s="695"/>
      <c r="AC115" s="18" t="s">
        <v>13</v>
      </c>
      <c r="AD115" s="301" t="s">
        <v>322</v>
      </c>
    </row>
    <row r="116" spans="20:30" ht="15.95" customHeight="1">
      <c r="T116" s="24" t="s">
        <v>304</v>
      </c>
      <c r="U116" s="25"/>
      <c r="V116" s="42">
        <v>7</v>
      </c>
      <c r="W116" s="314">
        <v>1</v>
      </c>
      <c r="X116" s="314">
        <v>4</v>
      </c>
      <c r="Y116" s="314">
        <v>1</v>
      </c>
      <c r="Z116" s="315" t="s">
        <v>125</v>
      </c>
      <c r="AA116" s="316">
        <v>1</v>
      </c>
      <c r="AB116" s="157" t="s">
        <v>125</v>
      </c>
      <c r="AC116" s="41">
        <v>73</v>
      </c>
      <c r="AD116" s="147"/>
    </row>
    <row r="117" spans="20:30" ht="15.95" customHeight="1">
      <c r="T117" s="34" t="s">
        <v>305</v>
      </c>
      <c r="U117" s="35"/>
      <c r="V117" s="323" t="s">
        <v>125</v>
      </c>
      <c r="W117" s="317" t="s">
        <v>125</v>
      </c>
      <c r="X117" s="318" t="s">
        <v>125</v>
      </c>
      <c r="Y117" s="317" t="s">
        <v>125</v>
      </c>
      <c r="Z117" s="319" t="s">
        <v>125</v>
      </c>
      <c r="AA117" s="320" t="s">
        <v>133</v>
      </c>
      <c r="AB117" s="157" t="s">
        <v>125</v>
      </c>
      <c r="AC117" s="173" t="s">
        <v>125</v>
      </c>
      <c r="AD117" s="172"/>
    </row>
    <row r="118" spans="20:30" ht="15.95" customHeight="1">
      <c r="T118" s="34" t="s">
        <v>306</v>
      </c>
      <c r="U118" s="35"/>
      <c r="V118" s="42">
        <v>95</v>
      </c>
      <c r="W118" s="317">
        <v>66</v>
      </c>
      <c r="X118" s="317">
        <v>18</v>
      </c>
      <c r="Y118" s="317">
        <v>9</v>
      </c>
      <c r="Z118" s="319" t="s">
        <v>125</v>
      </c>
      <c r="AA118" s="320">
        <v>2</v>
      </c>
      <c r="AB118" s="308" t="s">
        <v>125</v>
      </c>
      <c r="AC118" s="41">
        <v>482</v>
      </c>
      <c r="AD118" s="82"/>
    </row>
    <row r="119" spans="20:30" ht="15.95" customHeight="1">
      <c r="T119" s="34" t="s">
        <v>307</v>
      </c>
      <c r="U119" s="35"/>
      <c r="V119" s="42">
        <v>83</v>
      </c>
      <c r="W119" s="317">
        <v>37</v>
      </c>
      <c r="X119" s="317">
        <v>22</v>
      </c>
      <c r="Y119" s="317">
        <v>10</v>
      </c>
      <c r="Z119" s="319">
        <v>3</v>
      </c>
      <c r="AA119" s="320">
        <v>11</v>
      </c>
      <c r="AB119" s="308" t="s">
        <v>125</v>
      </c>
      <c r="AC119" s="41">
        <v>1235</v>
      </c>
      <c r="AD119" s="90"/>
    </row>
    <row r="120" spans="20:30" ht="15.95" customHeight="1">
      <c r="T120" s="34" t="s">
        <v>308</v>
      </c>
      <c r="U120" s="35"/>
      <c r="V120" s="42">
        <v>1</v>
      </c>
      <c r="W120" s="309" t="s">
        <v>125</v>
      </c>
      <c r="X120" s="309" t="s">
        <v>125</v>
      </c>
      <c r="Y120" s="309" t="s">
        <v>125</v>
      </c>
      <c r="Z120" s="321" t="s">
        <v>125</v>
      </c>
      <c r="AA120" s="319" t="s">
        <v>125</v>
      </c>
      <c r="AB120" s="308">
        <v>1</v>
      </c>
      <c r="AC120" s="41">
        <v>4</v>
      </c>
      <c r="AD120" s="90"/>
    </row>
    <row r="121" spans="20:30" ht="15.95" customHeight="1">
      <c r="T121" s="34" t="s">
        <v>309</v>
      </c>
      <c r="U121" s="35"/>
      <c r="V121" s="42">
        <v>2</v>
      </c>
      <c r="W121" s="309">
        <v>2</v>
      </c>
      <c r="X121" s="309" t="s">
        <v>125</v>
      </c>
      <c r="Y121" s="309" t="s">
        <v>125</v>
      </c>
      <c r="Z121" s="321" t="s">
        <v>125</v>
      </c>
      <c r="AA121" s="319" t="s">
        <v>125</v>
      </c>
      <c r="AB121" s="308" t="s">
        <v>125</v>
      </c>
      <c r="AC121" s="41">
        <v>4</v>
      </c>
      <c r="AD121" s="90"/>
    </row>
    <row r="122" spans="20:30" ht="15.95" customHeight="1">
      <c r="T122" s="34" t="s">
        <v>310</v>
      </c>
      <c r="U122" s="35"/>
      <c r="V122" s="42">
        <v>16</v>
      </c>
      <c r="W122" s="309">
        <v>4</v>
      </c>
      <c r="X122" s="309">
        <v>2</v>
      </c>
      <c r="Y122" s="309">
        <v>5</v>
      </c>
      <c r="Z122" s="321">
        <v>3</v>
      </c>
      <c r="AA122" s="322">
        <v>1</v>
      </c>
      <c r="AB122" s="308" t="s">
        <v>125</v>
      </c>
      <c r="AC122" s="41">
        <v>188</v>
      </c>
      <c r="AD122" s="90"/>
    </row>
    <row r="123" spans="20:30" ht="15.95" customHeight="1">
      <c r="T123" s="34" t="s">
        <v>311</v>
      </c>
      <c r="U123" s="35"/>
      <c r="V123" s="42">
        <v>132</v>
      </c>
      <c r="W123" s="309">
        <v>78</v>
      </c>
      <c r="X123" s="309">
        <v>34</v>
      </c>
      <c r="Y123" s="309">
        <v>10</v>
      </c>
      <c r="Z123" s="321">
        <v>4</v>
      </c>
      <c r="AA123" s="322">
        <v>6</v>
      </c>
      <c r="AB123" s="308" t="s">
        <v>125</v>
      </c>
      <c r="AC123" s="41">
        <v>1250</v>
      </c>
      <c r="AD123" s="90"/>
    </row>
    <row r="124" spans="20:30" ht="15.95" customHeight="1">
      <c r="T124" s="34" t="s">
        <v>312</v>
      </c>
      <c r="U124" s="35"/>
      <c r="V124" s="42">
        <v>7</v>
      </c>
      <c r="W124" s="317">
        <v>4</v>
      </c>
      <c r="X124" s="317" t="s">
        <v>125</v>
      </c>
      <c r="Y124" s="317">
        <v>1</v>
      </c>
      <c r="Z124" s="319">
        <v>2</v>
      </c>
      <c r="AA124" s="319" t="s">
        <v>125</v>
      </c>
      <c r="AB124" s="308" t="s">
        <v>125</v>
      </c>
      <c r="AC124" s="41">
        <v>66</v>
      </c>
      <c r="AD124" s="90"/>
    </row>
    <row r="125" spans="20:30" ht="15.95" customHeight="1">
      <c r="T125" s="34" t="s">
        <v>313</v>
      </c>
      <c r="U125" s="35"/>
      <c r="V125" s="42">
        <v>10</v>
      </c>
      <c r="W125" s="317">
        <v>10</v>
      </c>
      <c r="X125" s="317" t="s">
        <v>125</v>
      </c>
      <c r="Y125" s="317" t="s">
        <v>125</v>
      </c>
      <c r="Z125" s="319" t="s">
        <v>125</v>
      </c>
      <c r="AA125" s="319" t="s">
        <v>125</v>
      </c>
      <c r="AB125" s="308" t="s">
        <v>125</v>
      </c>
      <c r="AC125" s="41">
        <v>17</v>
      </c>
      <c r="AD125" s="90"/>
    </row>
    <row r="126" spans="20:30" ht="15.95" customHeight="1">
      <c r="T126" s="34" t="s">
        <v>314</v>
      </c>
      <c r="U126" s="35"/>
      <c r="V126" s="42">
        <v>24</v>
      </c>
      <c r="W126" s="317">
        <v>19</v>
      </c>
      <c r="X126" s="317">
        <v>3</v>
      </c>
      <c r="Y126" s="317">
        <v>1</v>
      </c>
      <c r="Z126" s="319" t="s">
        <v>125</v>
      </c>
      <c r="AA126" s="319" t="s">
        <v>125</v>
      </c>
      <c r="AB126" s="308">
        <v>1</v>
      </c>
      <c r="AC126" s="41">
        <v>96</v>
      </c>
      <c r="AD126" s="90"/>
    </row>
    <row r="127" spans="20:30" ht="15.95" customHeight="1">
      <c r="T127" s="34" t="s">
        <v>315</v>
      </c>
      <c r="U127" s="35"/>
      <c r="V127" s="42">
        <v>60</v>
      </c>
      <c r="W127" s="317">
        <v>38</v>
      </c>
      <c r="X127" s="317">
        <v>8</v>
      </c>
      <c r="Y127" s="317">
        <v>8</v>
      </c>
      <c r="Z127" s="319">
        <v>4</v>
      </c>
      <c r="AA127" s="320">
        <v>1</v>
      </c>
      <c r="AB127" s="308">
        <v>1</v>
      </c>
      <c r="AC127" s="41">
        <v>419</v>
      </c>
      <c r="AD127" s="90"/>
    </row>
    <row r="128" spans="20:30" ht="15.95" customHeight="1">
      <c r="T128" s="34" t="s">
        <v>316</v>
      </c>
      <c r="U128" s="35"/>
      <c r="V128" s="42">
        <v>51</v>
      </c>
      <c r="W128" s="317">
        <v>38</v>
      </c>
      <c r="X128" s="317">
        <v>5</v>
      </c>
      <c r="Y128" s="317">
        <v>4</v>
      </c>
      <c r="Z128" s="319">
        <v>1</v>
      </c>
      <c r="AA128" s="320">
        <v>2</v>
      </c>
      <c r="AB128" s="157">
        <v>1</v>
      </c>
      <c r="AC128" s="41">
        <v>270</v>
      </c>
      <c r="AD128" s="90"/>
    </row>
    <row r="129" spans="1:30" ht="15.95" customHeight="1">
      <c r="T129" s="34" t="s">
        <v>317</v>
      </c>
      <c r="U129" s="35"/>
      <c r="V129" s="42">
        <v>18</v>
      </c>
      <c r="W129" s="317">
        <v>10</v>
      </c>
      <c r="X129" s="317">
        <v>1</v>
      </c>
      <c r="Y129" s="317" t="s">
        <v>125</v>
      </c>
      <c r="Z129" s="319">
        <v>1</v>
      </c>
      <c r="AA129" s="319" t="s">
        <v>125</v>
      </c>
      <c r="AB129" s="157">
        <v>6</v>
      </c>
      <c r="AC129" s="41">
        <v>158</v>
      </c>
      <c r="AD129" s="82"/>
    </row>
    <row r="130" spans="1:30" ht="15.95" customHeight="1">
      <c r="T130" s="34" t="s">
        <v>318</v>
      </c>
      <c r="U130" s="35"/>
      <c r="V130" s="42">
        <v>31</v>
      </c>
      <c r="W130" s="317">
        <v>10</v>
      </c>
      <c r="X130" s="317">
        <v>5</v>
      </c>
      <c r="Y130" s="317">
        <v>3</v>
      </c>
      <c r="Z130" s="319">
        <v>1</v>
      </c>
      <c r="AA130" s="320">
        <v>6</v>
      </c>
      <c r="AB130" s="157">
        <v>6</v>
      </c>
      <c r="AC130" s="41">
        <v>792</v>
      </c>
      <c r="AD130" s="82"/>
    </row>
    <row r="131" spans="1:30" ht="15.95" customHeight="1">
      <c r="T131" s="34" t="s">
        <v>319</v>
      </c>
      <c r="U131" s="35"/>
      <c r="V131" s="42">
        <v>6</v>
      </c>
      <c r="W131" s="317">
        <v>4</v>
      </c>
      <c r="X131" s="317" t="s">
        <v>125</v>
      </c>
      <c r="Y131" s="317">
        <v>1</v>
      </c>
      <c r="Z131" s="319" t="s">
        <v>125</v>
      </c>
      <c r="AA131" s="320">
        <v>1</v>
      </c>
      <c r="AB131" s="308" t="s">
        <v>125</v>
      </c>
      <c r="AC131" s="41">
        <v>72</v>
      </c>
      <c r="AD131" s="82"/>
    </row>
    <row r="132" spans="1:30" ht="15.95" customHeight="1">
      <c r="T132" s="34" t="s">
        <v>320</v>
      </c>
      <c r="U132" s="47"/>
      <c r="V132" s="42">
        <v>23</v>
      </c>
      <c r="W132" s="309">
        <v>15</v>
      </c>
      <c r="X132" s="309">
        <v>6</v>
      </c>
      <c r="Y132" s="309">
        <v>1</v>
      </c>
      <c r="Z132" s="321">
        <v>1</v>
      </c>
      <c r="AA132" s="319" t="s">
        <v>125</v>
      </c>
      <c r="AB132" s="308" t="s">
        <v>125</v>
      </c>
      <c r="AC132" s="41">
        <v>106</v>
      </c>
      <c r="AD132" s="82"/>
    </row>
    <row r="133" spans="1:30" ht="15.95" customHeight="1">
      <c r="T133" s="34" t="s">
        <v>321</v>
      </c>
      <c r="U133" s="47"/>
      <c r="V133" s="42">
        <v>8</v>
      </c>
      <c r="W133" s="312"/>
      <c r="X133" s="312"/>
      <c r="Y133" s="312"/>
      <c r="Z133" s="310"/>
      <c r="AA133" s="311"/>
      <c r="AB133" s="308">
        <v>8</v>
      </c>
      <c r="AC133" s="41">
        <v>138</v>
      </c>
      <c r="AD133" s="148"/>
    </row>
    <row r="134" spans="1:30" ht="15.95" customHeight="1">
      <c r="T134" s="52" t="s">
        <v>47</v>
      </c>
      <c r="U134" s="53"/>
      <c r="V134" s="93">
        <f>SUM(V116:V133)</f>
        <v>574</v>
      </c>
      <c r="W134" s="313">
        <f>SUM(W116:W132)</f>
        <v>336</v>
      </c>
      <c r="X134" s="313">
        <f>SUM(X116:X132)</f>
        <v>108</v>
      </c>
      <c r="Y134" s="313">
        <f>SUM(Y116:Y132)</f>
        <v>54</v>
      </c>
      <c r="Z134" s="313">
        <f>SUM(Z116:Z132)</f>
        <v>20</v>
      </c>
      <c r="AA134" s="313">
        <f>SUM(AA116:AA132)</f>
        <v>31</v>
      </c>
      <c r="AB134" s="55">
        <f>SUM(AB116:AB133)</f>
        <v>24</v>
      </c>
      <c r="AC134" s="57">
        <f>SUM(AC116:AC133)</f>
        <v>5370</v>
      </c>
      <c r="AD134" s="84"/>
    </row>
    <row r="135" spans="1:30" ht="15.95" customHeight="1">
      <c r="A135" s="33"/>
      <c r="B135" s="33"/>
      <c r="C135" s="33"/>
      <c r="D135" s="33"/>
      <c r="E135" s="33"/>
      <c r="F135" s="33"/>
      <c r="G135" s="33"/>
      <c r="H135" s="33"/>
      <c r="I135" s="33"/>
      <c r="J135" s="33"/>
      <c r="K135" s="33"/>
      <c r="L135" s="33"/>
      <c r="M135" s="33"/>
      <c r="N135" s="33"/>
      <c r="O135" s="33"/>
      <c r="P135" s="33"/>
      <c r="Q135" s="33"/>
      <c r="T135" s="441"/>
      <c r="AD135" s="114" t="s">
        <v>302</v>
      </c>
    </row>
    <row r="136" spans="1:30" ht="15.95" customHeight="1">
      <c r="A136" s="33"/>
      <c r="B136" s="33"/>
      <c r="C136" s="33"/>
      <c r="D136" s="33"/>
      <c r="E136" s="33"/>
      <c r="F136" s="33"/>
      <c r="G136" s="33"/>
      <c r="H136" s="33"/>
      <c r="I136" s="33"/>
      <c r="J136" s="33"/>
      <c r="K136" s="33"/>
      <c r="L136" s="33"/>
      <c r="M136" s="33"/>
      <c r="N136" s="33"/>
      <c r="O136" s="33"/>
      <c r="P136" s="33"/>
      <c r="Q136" s="33"/>
      <c r="T136" s="441" t="s">
        <v>477</v>
      </c>
    </row>
    <row r="137" spans="1:30" ht="15.95" customHeight="1">
      <c r="A137" s="33"/>
      <c r="B137" s="33"/>
      <c r="C137" s="33"/>
      <c r="D137" s="33"/>
      <c r="E137" s="33"/>
      <c r="F137" s="33"/>
      <c r="G137" s="33"/>
      <c r="H137" s="33"/>
      <c r="I137" s="33"/>
      <c r="J137" s="33"/>
      <c r="K137" s="33"/>
      <c r="L137" s="33"/>
      <c r="M137" s="33"/>
      <c r="N137" s="33"/>
      <c r="O137" s="33"/>
      <c r="P137" s="33"/>
      <c r="Q137" s="33"/>
      <c r="T137" s="1" t="s">
        <v>434</v>
      </c>
    </row>
    <row r="138" spans="1:30" ht="15.95" customHeight="1">
      <c r="A138" s="33"/>
      <c r="B138" s="33"/>
      <c r="C138" s="33"/>
      <c r="D138" s="33"/>
      <c r="E138" s="33"/>
      <c r="F138" s="33"/>
      <c r="G138" s="33"/>
      <c r="H138" s="33"/>
      <c r="I138" s="33"/>
      <c r="J138" s="33"/>
      <c r="K138" s="33"/>
      <c r="L138" s="33"/>
      <c r="M138" s="33"/>
      <c r="N138" s="33"/>
      <c r="O138" s="33"/>
      <c r="P138" s="33"/>
      <c r="Q138" s="33"/>
      <c r="T138" s="1" t="s">
        <v>478</v>
      </c>
    </row>
    <row r="139" spans="1:30" ht="19.5" customHeight="1">
      <c r="A139" s="33"/>
      <c r="B139" s="33"/>
      <c r="C139" s="33"/>
      <c r="D139" s="33"/>
      <c r="E139" s="33"/>
      <c r="F139" s="33"/>
      <c r="G139" s="33"/>
      <c r="H139" s="33"/>
      <c r="I139" s="33"/>
      <c r="J139" s="33"/>
      <c r="K139" s="33"/>
      <c r="L139" s="33"/>
      <c r="M139" s="33"/>
      <c r="N139" s="33"/>
      <c r="O139" s="33"/>
      <c r="P139" s="33"/>
      <c r="Q139" s="33"/>
    </row>
    <row r="140" spans="1:30" ht="13.5" customHeight="1">
      <c r="A140" s="33"/>
      <c r="B140" s="33"/>
      <c r="C140" s="33"/>
      <c r="D140" s="33"/>
      <c r="E140" s="33"/>
      <c r="F140" s="33"/>
      <c r="G140" s="33"/>
      <c r="H140" s="33"/>
      <c r="I140" s="33"/>
      <c r="J140" s="33"/>
      <c r="K140" s="33"/>
      <c r="L140" s="33"/>
      <c r="M140" s="33"/>
      <c r="N140" s="33"/>
      <c r="O140" s="33"/>
      <c r="P140" s="33"/>
      <c r="Q140" s="33"/>
    </row>
    <row r="141" spans="1:30" ht="13.5" customHeight="1">
      <c r="A141" s="33"/>
      <c r="B141" s="33"/>
      <c r="C141" s="33"/>
      <c r="D141" s="33"/>
      <c r="E141" s="33"/>
      <c r="F141" s="33"/>
      <c r="G141" s="33"/>
      <c r="H141" s="33"/>
      <c r="I141" s="33"/>
      <c r="J141" s="33"/>
      <c r="K141" s="33"/>
      <c r="L141" s="33"/>
      <c r="M141" s="33"/>
      <c r="N141" s="33"/>
      <c r="O141" s="33"/>
      <c r="P141" s="33"/>
      <c r="Q141" s="33"/>
    </row>
    <row r="142" spans="1:30" ht="13.5" customHeight="1">
      <c r="A142" s="33"/>
      <c r="B142" s="33"/>
      <c r="C142" s="33"/>
      <c r="D142" s="33"/>
      <c r="E142" s="33"/>
      <c r="F142" s="33"/>
      <c r="G142" s="33"/>
      <c r="H142" s="33"/>
      <c r="I142" s="33"/>
      <c r="J142" s="33"/>
      <c r="K142" s="33"/>
      <c r="L142" s="33"/>
      <c r="M142" s="33"/>
      <c r="N142" s="33"/>
      <c r="O142" s="33"/>
      <c r="P142" s="33"/>
      <c r="Q142" s="33"/>
    </row>
    <row r="143" spans="1:30" ht="5.0999999999999996" customHeight="1">
      <c r="A143" s="33"/>
      <c r="B143" s="33"/>
      <c r="C143" s="33"/>
      <c r="D143" s="33"/>
      <c r="E143" s="33"/>
      <c r="F143" s="33"/>
      <c r="G143" s="33"/>
      <c r="H143" s="33"/>
      <c r="I143" s="33"/>
      <c r="J143" s="33"/>
      <c r="K143" s="33"/>
      <c r="L143" s="33"/>
      <c r="M143" s="33"/>
      <c r="N143" s="33"/>
      <c r="O143" s="33"/>
      <c r="P143" s="33"/>
      <c r="Q143" s="33"/>
    </row>
    <row r="144" spans="1:30" ht="5.0999999999999996" customHeight="1">
      <c r="A144" s="33"/>
      <c r="B144" s="33"/>
      <c r="C144" s="33"/>
      <c r="D144" s="33"/>
      <c r="E144" s="33"/>
      <c r="F144" s="33"/>
      <c r="G144" s="33"/>
      <c r="H144" s="33"/>
      <c r="I144" s="33"/>
      <c r="J144" s="33"/>
      <c r="K144" s="33"/>
      <c r="L144" s="33"/>
      <c r="M144" s="33"/>
      <c r="N144" s="33"/>
      <c r="O144" s="33"/>
      <c r="P144" s="33"/>
      <c r="Q144" s="33"/>
    </row>
    <row r="145" spans="20:30" ht="15.95" customHeight="1">
      <c r="T145" s="2"/>
      <c r="U145" s="3"/>
      <c r="V145" s="6" t="s">
        <v>332</v>
      </c>
      <c r="W145" s="4"/>
      <c r="X145" s="4"/>
      <c r="Y145" s="4"/>
      <c r="Z145" s="4"/>
      <c r="AA145" s="5"/>
      <c r="AB145" s="4"/>
      <c r="AC145" s="7"/>
      <c r="AD145" s="88"/>
    </row>
    <row r="146" spans="20:30" ht="15.95" customHeight="1">
      <c r="T146" s="8" t="s">
        <v>8</v>
      </c>
      <c r="U146" s="9"/>
      <c r="V146" s="10" t="s">
        <v>9</v>
      </c>
      <c r="W146" s="11" t="s">
        <v>111</v>
      </c>
      <c r="X146" s="12"/>
      <c r="Y146" s="12"/>
      <c r="Z146" s="12"/>
      <c r="AA146" s="13"/>
      <c r="AB146" s="694" t="s">
        <v>297</v>
      </c>
      <c r="AC146" s="14" t="s">
        <v>12</v>
      </c>
      <c r="AD146" s="15" t="s">
        <v>298</v>
      </c>
    </row>
    <row r="147" spans="20:30" ht="15.95" customHeight="1">
      <c r="T147" s="16"/>
      <c r="U147" s="17"/>
      <c r="V147" s="22"/>
      <c r="W147" s="64" t="s">
        <v>51</v>
      </c>
      <c r="X147" s="64" t="s">
        <v>55</v>
      </c>
      <c r="Y147" s="64" t="s">
        <v>56</v>
      </c>
      <c r="Z147" s="20" t="s">
        <v>57</v>
      </c>
      <c r="AA147" s="65" t="s">
        <v>53</v>
      </c>
      <c r="AB147" s="695"/>
      <c r="AC147" s="18" t="s">
        <v>13</v>
      </c>
      <c r="AD147" s="301" t="s">
        <v>322</v>
      </c>
    </row>
    <row r="148" spans="20:30" ht="15.95" customHeight="1">
      <c r="T148" s="24" t="s">
        <v>304</v>
      </c>
      <c r="U148" s="25"/>
      <c r="V148" s="326">
        <v>7</v>
      </c>
      <c r="W148" s="155">
        <v>3</v>
      </c>
      <c r="X148" s="155">
        <v>3</v>
      </c>
      <c r="Y148" s="155">
        <v>1</v>
      </c>
      <c r="Z148" s="155" t="s">
        <v>125</v>
      </c>
      <c r="AA148" s="155" t="s">
        <v>125</v>
      </c>
      <c r="AB148" s="152"/>
      <c r="AC148" s="173">
        <v>34</v>
      </c>
      <c r="AD148" s="148">
        <v>153</v>
      </c>
    </row>
    <row r="149" spans="20:30" ht="15.95" customHeight="1">
      <c r="T149" s="34" t="s">
        <v>305</v>
      </c>
      <c r="U149" s="35"/>
      <c r="V149" s="159" t="s">
        <v>125</v>
      </c>
      <c r="W149" s="155" t="s">
        <v>125</v>
      </c>
      <c r="X149" s="155" t="s">
        <v>125</v>
      </c>
      <c r="Y149" s="155" t="s">
        <v>125</v>
      </c>
      <c r="Z149" s="155" t="s">
        <v>125</v>
      </c>
      <c r="AA149" s="155" t="s">
        <v>125</v>
      </c>
      <c r="AB149" s="157"/>
      <c r="AC149" s="173" t="s">
        <v>125</v>
      </c>
      <c r="AD149" s="148" t="s">
        <v>125</v>
      </c>
    </row>
    <row r="150" spans="20:30" ht="15.95" customHeight="1">
      <c r="T150" s="34" t="s">
        <v>306</v>
      </c>
      <c r="U150" s="35"/>
      <c r="V150" s="159">
        <v>83</v>
      </c>
      <c r="W150" s="155">
        <v>59</v>
      </c>
      <c r="X150" s="155">
        <v>15</v>
      </c>
      <c r="Y150" s="155">
        <v>8</v>
      </c>
      <c r="Z150" s="155" t="s">
        <v>125</v>
      </c>
      <c r="AA150" s="155">
        <v>1</v>
      </c>
      <c r="AB150" s="39"/>
      <c r="AC150" s="173">
        <v>410</v>
      </c>
      <c r="AD150" s="148" t="s">
        <v>323</v>
      </c>
    </row>
    <row r="151" spans="20:30" ht="15.95" customHeight="1">
      <c r="T151" s="34" t="s">
        <v>307</v>
      </c>
      <c r="U151" s="35"/>
      <c r="V151" s="159">
        <v>82</v>
      </c>
      <c r="W151" s="143">
        <v>35</v>
      </c>
      <c r="X151" s="143">
        <v>17</v>
      </c>
      <c r="Y151" s="143">
        <v>15</v>
      </c>
      <c r="Z151" s="143">
        <v>4</v>
      </c>
      <c r="AA151" s="143">
        <v>11</v>
      </c>
      <c r="AB151" s="49"/>
      <c r="AC151" s="173">
        <v>1427</v>
      </c>
      <c r="AD151" s="148">
        <v>19923</v>
      </c>
    </row>
    <row r="152" spans="20:30" ht="15.95" customHeight="1">
      <c r="T152" s="34" t="s">
        <v>308</v>
      </c>
      <c r="U152" s="35"/>
      <c r="V152" s="159" t="s">
        <v>125</v>
      </c>
      <c r="W152" s="155" t="s">
        <v>125</v>
      </c>
      <c r="X152" s="155" t="s">
        <v>125</v>
      </c>
      <c r="Y152" s="155" t="s">
        <v>125</v>
      </c>
      <c r="Z152" s="155" t="s">
        <v>125</v>
      </c>
      <c r="AA152" s="155" t="s">
        <v>125</v>
      </c>
      <c r="AB152" s="49"/>
      <c r="AC152" s="173" t="s">
        <v>125</v>
      </c>
      <c r="AD152" s="148" t="s">
        <v>323</v>
      </c>
    </row>
    <row r="153" spans="20:30" ht="15.95" customHeight="1">
      <c r="T153" s="34" t="s">
        <v>309</v>
      </c>
      <c r="U153" s="35"/>
      <c r="V153" s="159">
        <v>3</v>
      </c>
      <c r="W153" s="155">
        <v>2</v>
      </c>
      <c r="X153" s="155">
        <v>1</v>
      </c>
      <c r="Y153" s="155" t="s">
        <v>125</v>
      </c>
      <c r="Z153" s="155" t="s">
        <v>125</v>
      </c>
      <c r="AA153" s="155" t="s">
        <v>125</v>
      </c>
      <c r="AB153" s="49"/>
      <c r="AC153" s="173">
        <v>9</v>
      </c>
      <c r="AD153" s="148" t="s">
        <v>323</v>
      </c>
    </row>
    <row r="154" spans="20:30" ht="15.95" customHeight="1">
      <c r="T154" s="34" t="s">
        <v>310</v>
      </c>
      <c r="U154" s="35"/>
      <c r="V154" s="159">
        <v>13</v>
      </c>
      <c r="W154" s="155">
        <v>3</v>
      </c>
      <c r="X154" s="155">
        <v>3</v>
      </c>
      <c r="Y154" s="155">
        <v>4</v>
      </c>
      <c r="Z154" s="155">
        <v>3</v>
      </c>
      <c r="AA154" s="155" t="s">
        <v>125</v>
      </c>
      <c r="AB154" s="49"/>
      <c r="AC154" s="173">
        <v>150</v>
      </c>
      <c r="AD154" s="148" t="s">
        <v>323</v>
      </c>
    </row>
    <row r="155" spans="20:30" ht="15.95" customHeight="1">
      <c r="T155" s="34" t="s">
        <v>311</v>
      </c>
      <c r="U155" s="35"/>
      <c r="V155" s="159">
        <v>124</v>
      </c>
      <c r="W155" s="155">
        <v>66</v>
      </c>
      <c r="X155" s="155">
        <v>33</v>
      </c>
      <c r="Y155" s="155">
        <v>13</v>
      </c>
      <c r="Z155" s="155">
        <v>4</v>
      </c>
      <c r="AA155" s="155">
        <v>6</v>
      </c>
      <c r="AB155" s="49"/>
      <c r="AC155" s="173">
        <v>1030</v>
      </c>
      <c r="AD155" s="148">
        <v>26604</v>
      </c>
    </row>
    <row r="156" spans="20:30" ht="15.95" customHeight="1">
      <c r="T156" s="34" t="s">
        <v>312</v>
      </c>
      <c r="U156" s="35"/>
      <c r="V156" s="159">
        <v>9</v>
      </c>
      <c r="W156" s="155">
        <v>5</v>
      </c>
      <c r="X156" s="155" t="s">
        <v>125</v>
      </c>
      <c r="Y156" s="155">
        <v>3</v>
      </c>
      <c r="Z156" s="155" t="s">
        <v>125</v>
      </c>
      <c r="AA156" s="155" t="s">
        <v>125</v>
      </c>
      <c r="AB156" s="49"/>
      <c r="AC156" s="173">
        <v>66</v>
      </c>
      <c r="AD156" s="148" t="s">
        <v>323</v>
      </c>
    </row>
    <row r="157" spans="20:30" ht="15.95" customHeight="1">
      <c r="T157" s="34" t="s">
        <v>313</v>
      </c>
      <c r="U157" s="35"/>
      <c r="V157" s="159">
        <v>12</v>
      </c>
      <c r="W157" s="155">
        <v>11</v>
      </c>
      <c r="X157" s="155">
        <v>1</v>
      </c>
      <c r="Y157" s="155" t="s">
        <v>125</v>
      </c>
      <c r="Z157" s="155" t="s">
        <v>125</v>
      </c>
      <c r="AA157" s="155" t="s">
        <v>125</v>
      </c>
      <c r="AB157" s="49"/>
      <c r="AC157" s="173">
        <v>27</v>
      </c>
      <c r="AD157" s="148">
        <v>589</v>
      </c>
    </row>
    <row r="158" spans="20:30" ht="15.95" customHeight="1">
      <c r="T158" s="34" t="s">
        <v>314</v>
      </c>
      <c r="U158" s="35"/>
      <c r="V158" s="159">
        <v>20</v>
      </c>
      <c r="W158" s="155">
        <v>19</v>
      </c>
      <c r="X158" s="155" t="s">
        <v>125</v>
      </c>
      <c r="Y158" s="155">
        <v>1</v>
      </c>
      <c r="Z158" s="155" t="s">
        <v>125</v>
      </c>
      <c r="AA158" s="155" t="s">
        <v>125</v>
      </c>
      <c r="AB158" s="49"/>
      <c r="AC158" s="173">
        <v>52</v>
      </c>
      <c r="AD158" s="148">
        <v>380</v>
      </c>
    </row>
    <row r="159" spans="20:30" ht="15.95" customHeight="1">
      <c r="T159" s="34" t="s">
        <v>315</v>
      </c>
      <c r="U159" s="35"/>
      <c r="V159" s="159">
        <v>59</v>
      </c>
      <c r="W159" s="155">
        <v>37</v>
      </c>
      <c r="X159" s="155">
        <v>13</v>
      </c>
      <c r="Y159" s="155">
        <v>4</v>
      </c>
      <c r="Z159" s="155">
        <v>2</v>
      </c>
      <c r="AA159" s="155">
        <v>3</v>
      </c>
      <c r="AB159" s="49"/>
      <c r="AC159" s="173">
        <v>473</v>
      </c>
      <c r="AD159" s="148">
        <v>1168</v>
      </c>
    </row>
    <row r="160" spans="20:30" ht="15.95" customHeight="1">
      <c r="T160" s="34" t="s">
        <v>316</v>
      </c>
      <c r="U160" s="35"/>
      <c r="V160" s="159">
        <v>50</v>
      </c>
      <c r="W160" s="155">
        <v>39</v>
      </c>
      <c r="X160" s="155">
        <v>3</v>
      </c>
      <c r="Y160" s="155">
        <v>7</v>
      </c>
      <c r="Z160" s="155" t="s">
        <v>125</v>
      </c>
      <c r="AA160" s="155">
        <v>1</v>
      </c>
      <c r="AB160" s="49"/>
      <c r="AC160" s="173">
        <v>227</v>
      </c>
      <c r="AD160" s="148">
        <v>3714</v>
      </c>
    </row>
    <row r="161" spans="1:30" ht="15.95" customHeight="1">
      <c r="T161" s="34" t="s">
        <v>317</v>
      </c>
      <c r="U161" s="35"/>
      <c r="V161" s="159">
        <v>12</v>
      </c>
      <c r="W161" s="155">
        <v>10</v>
      </c>
      <c r="X161" s="155" t="s">
        <v>125</v>
      </c>
      <c r="Y161" s="155">
        <v>1</v>
      </c>
      <c r="Z161" s="155">
        <v>1</v>
      </c>
      <c r="AA161" s="155" t="s">
        <v>125</v>
      </c>
      <c r="AB161" s="49"/>
      <c r="AC161" s="173">
        <v>56</v>
      </c>
      <c r="AD161" s="148" t="s">
        <v>323</v>
      </c>
    </row>
    <row r="162" spans="1:30" ht="15.95" customHeight="1">
      <c r="T162" s="34" t="s">
        <v>318</v>
      </c>
      <c r="U162" s="35"/>
      <c r="V162" s="159">
        <v>29</v>
      </c>
      <c r="W162" s="155">
        <v>15</v>
      </c>
      <c r="X162" s="155">
        <v>4</v>
      </c>
      <c r="Y162" s="155">
        <v>3</v>
      </c>
      <c r="Z162" s="155">
        <v>1</v>
      </c>
      <c r="AA162" s="155">
        <v>6</v>
      </c>
      <c r="AB162" s="39"/>
      <c r="AC162" s="173">
        <v>671</v>
      </c>
      <c r="AD162" s="148">
        <v>3589</v>
      </c>
    </row>
    <row r="163" spans="1:30" ht="15.95" customHeight="1">
      <c r="T163" s="34" t="s">
        <v>319</v>
      </c>
      <c r="U163" s="35"/>
      <c r="V163" s="159">
        <v>5</v>
      </c>
      <c r="W163" s="155">
        <v>3</v>
      </c>
      <c r="X163" s="155" t="s">
        <v>125</v>
      </c>
      <c r="Y163" s="155">
        <v>1</v>
      </c>
      <c r="Z163" s="155" t="s">
        <v>125</v>
      </c>
      <c r="AA163" s="155">
        <v>1</v>
      </c>
      <c r="AB163" s="39"/>
      <c r="AC163" s="173">
        <v>66</v>
      </c>
      <c r="AD163" s="148" t="s">
        <v>323</v>
      </c>
    </row>
    <row r="164" spans="1:30" ht="15.95" customHeight="1">
      <c r="T164" s="34" t="s">
        <v>320</v>
      </c>
      <c r="U164" s="47"/>
      <c r="V164" s="159">
        <v>24</v>
      </c>
      <c r="W164" s="155">
        <v>15</v>
      </c>
      <c r="X164" s="155">
        <v>6</v>
      </c>
      <c r="Y164" s="155">
        <v>2</v>
      </c>
      <c r="Z164" s="155">
        <v>1</v>
      </c>
      <c r="AA164" s="155" t="s">
        <v>125</v>
      </c>
      <c r="AB164" s="39"/>
      <c r="AC164" s="173">
        <v>117</v>
      </c>
      <c r="AD164" s="148" t="s">
        <v>323</v>
      </c>
    </row>
    <row r="165" spans="1:30" ht="15.95" customHeight="1">
      <c r="T165" s="52" t="s">
        <v>47</v>
      </c>
      <c r="U165" s="53"/>
      <c r="V165" s="160">
        <f>SUM(V148:V164)</f>
        <v>532</v>
      </c>
      <c r="W165" s="325">
        <f t="shared" ref="W165:AA165" si="3">SUM(W148:W164)</f>
        <v>322</v>
      </c>
      <c r="X165" s="325">
        <f t="shared" si="3"/>
        <v>99</v>
      </c>
      <c r="Y165" s="325">
        <f t="shared" si="3"/>
        <v>63</v>
      </c>
      <c r="Z165" s="325">
        <f t="shared" si="3"/>
        <v>16</v>
      </c>
      <c r="AA165" s="325">
        <f t="shared" si="3"/>
        <v>29</v>
      </c>
      <c r="AB165" s="55"/>
      <c r="AC165" s="57">
        <f>SUM(AC148:AC164)</f>
        <v>4815</v>
      </c>
      <c r="AD165" s="175" t="s">
        <v>323</v>
      </c>
    </row>
    <row r="166" spans="1:30" ht="15.95" customHeight="1">
      <c r="AD166" s="114" t="s">
        <v>303</v>
      </c>
    </row>
    <row r="167" spans="1:30" ht="15.95" customHeight="1">
      <c r="T167" s="1" t="s">
        <v>476</v>
      </c>
      <c r="AD167" s="114"/>
    </row>
    <row r="168" spans="1:30" ht="15.95" customHeight="1">
      <c r="T168" s="1" t="s">
        <v>472</v>
      </c>
      <c r="AD168" s="114"/>
    </row>
    <row r="169" spans="1:30" ht="15.95" customHeight="1">
      <c r="T169" s="1" t="s">
        <v>475</v>
      </c>
      <c r="U169" s="179"/>
      <c r="V169" s="179"/>
      <c r="W169" s="179"/>
      <c r="X169" s="179"/>
      <c r="Y169" s="179"/>
      <c r="Z169" s="179"/>
    </row>
    <row r="170" spans="1:30" ht="15.95" customHeight="1">
      <c r="T170" s="179" t="s">
        <v>414</v>
      </c>
    </row>
    <row r="171" spans="1:30" ht="15.95" customHeight="1">
      <c r="T171" s="1" t="s">
        <v>436</v>
      </c>
    </row>
    <row r="172" spans="1:30" ht="15.95" customHeight="1">
      <c r="T172" s="1" t="s">
        <v>471</v>
      </c>
    </row>
    <row r="175" spans="1:30" ht="5.0999999999999996" customHeight="1">
      <c r="A175" s="33"/>
      <c r="B175" s="33"/>
      <c r="C175" s="33"/>
      <c r="D175" s="33"/>
      <c r="E175" s="33"/>
      <c r="F175" s="33"/>
      <c r="G175" s="33"/>
      <c r="H175" s="33"/>
      <c r="I175" s="33"/>
      <c r="J175" s="33"/>
      <c r="K175" s="33"/>
      <c r="L175" s="33"/>
      <c r="M175" s="33"/>
      <c r="N175" s="33"/>
      <c r="O175" s="33"/>
      <c r="P175" s="33"/>
      <c r="Q175" s="33"/>
    </row>
    <row r="176" spans="1:30" ht="15.95" customHeight="1">
      <c r="T176" s="2"/>
      <c r="U176" s="3"/>
      <c r="V176" s="6" t="s">
        <v>460</v>
      </c>
      <c r="W176" s="4"/>
      <c r="X176" s="4"/>
      <c r="Y176" s="4"/>
      <c r="Z176" s="4"/>
      <c r="AA176" s="5"/>
      <c r="AB176" s="4"/>
      <c r="AC176" s="7"/>
      <c r="AD176" s="88"/>
    </row>
    <row r="177" spans="20:30" ht="15.95" customHeight="1">
      <c r="T177" s="8" t="s">
        <v>8</v>
      </c>
      <c r="U177" s="9"/>
      <c r="V177" s="464" t="s">
        <v>9</v>
      </c>
      <c r="W177" s="11" t="s">
        <v>111</v>
      </c>
      <c r="X177" s="12"/>
      <c r="Y177" s="12"/>
      <c r="Z177" s="12"/>
      <c r="AA177" s="13"/>
      <c r="AB177" s="694" t="s">
        <v>297</v>
      </c>
      <c r="AC177" s="465" t="s">
        <v>12</v>
      </c>
      <c r="AD177" s="15" t="s">
        <v>298</v>
      </c>
    </row>
    <row r="178" spans="20:30" ht="15.95" customHeight="1">
      <c r="T178" s="16"/>
      <c r="U178" s="17"/>
      <c r="V178" s="467"/>
      <c r="W178" s="64" t="s">
        <v>51</v>
      </c>
      <c r="X178" s="64" t="s">
        <v>55</v>
      </c>
      <c r="Y178" s="64" t="s">
        <v>56</v>
      </c>
      <c r="Z178" s="20" t="s">
        <v>57</v>
      </c>
      <c r="AA178" s="65" t="s">
        <v>53</v>
      </c>
      <c r="AB178" s="695"/>
      <c r="AC178" s="468" t="s">
        <v>13</v>
      </c>
      <c r="AD178" s="301" t="s">
        <v>322</v>
      </c>
    </row>
    <row r="179" spans="20:30" ht="15.95" customHeight="1">
      <c r="T179" s="24" t="s">
        <v>304</v>
      </c>
      <c r="U179" s="25"/>
      <c r="V179" s="326">
        <v>7</v>
      </c>
      <c r="W179" s="155">
        <v>3</v>
      </c>
      <c r="X179" s="155">
        <v>3</v>
      </c>
      <c r="Y179" s="155">
        <v>1</v>
      </c>
      <c r="Z179" s="155" t="s">
        <v>125</v>
      </c>
      <c r="AA179" s="155" t="s">
        <v>125</v>
      </c>
      <c r="AB179" s="307" t="s">
        <v>125</v>
      </c>
      <c r="AC179" s="173">
        <v>39</v>
      </c>
      <c r="AD179" s="148">
        <v>716</v>
      </c>
    </row>
    <row r="180" spans="20:30" ht="15.95" customHeight="1">
      <c r="T180" s="34" t="s">
        <v>305</v>
      </c>
      <c r="U180" s="35"/>
      <c r="V180" s="159" t="s">
        <v>125</v>
      </c>
      <c r="W180" s="155" t="s">
        <v>125</v>
      </c>
      <c r="X180" s="155" t="s">
        <v>125</v>
      </c>
      <c r="Y180" s="155" t="s">
        <v>125</v>
      </c>
      <c r="Z180" s="155" t="s">
        <v>125</v>
      </c>
      <c r="AA180" s="155" t="s">
        <v>125</v>
      </c>
      <c r="AB180" s="157" t="s">
        <v>125</v>
      </c>
      <c r="AC180" s="157" t="s">
        <v>125</v>
      </c>
      <c r="AD180" s="148" t="s">
        <v>125</v>
      </c>
    </row>
    <row r="181" spans="20:30" ht="15.95" customHeight="1">
      <c r="T181" s="34" t="s">
        <v>306</v>
      </c>
      <c r="U181" s="35"/>
      <c r="V181" s="159">
        <v>78</v>
      </c>
      <c r="W181" s="155">
        <v>51</v>
      </c>
      <c r="X181" s="155">
        <v>16</v>
      </c>
      <c r="Y181" s="155">
        <v>7</v>
      </c>
      <c r="Z181" s="155">
        <v>2</v>
      </c>
      <c r="AA181" s="155">
        <v>1</v>
      </c>
      <c r="AB181" s="157" t="s">
        <v>125</v>
      </c>
      <c r="AC181" s="173">
        <v>409</v>
      </c>
      <c r="AD181" s="148" t="s">
        <v>461</v>
      </c>
    </row>
    <row r="182" spans="20:30" ht="15.95" customHeight="1">
      <c r="T182" s="34" t="s">
        <v>307</v>
      </c>
      <c r="U182" s="35"/>
      <c r="V182" s="159">
        <v>79</v>
      </c>
      <c r="W182" s="143">
        <v>32</v>
      </c>
      <c r="X182" s="143">
        <v>22</v>
      </c>
      <c r="Y182" s="143">
        <v>9</v>
      </c>
      <c r="Z182" s="143">
        <v>5</v>
      </c>
      <c r="AA182" s="143">
        <v>11</v>
      </c>
      <c r="AB182" s="308" t="s">
        <v>125</v>
      </c>
      <c r="AC182" s="173">
        <v>1494</v>
      </c>
      <c r="AD182" s="148">
        <v>37310</v>
      </c>
    </row>
    <row r="183" spans="20:30" ht="15.95" customHeight="1">
      <c r="T183" s="34" t="s">
        <v>308</v>
      </c>
      <c r="U183" s="35"/>
      <c r="V183" s="159">
        <v>1</v>
      </c>
      <c r="W183" s="155" t="s">
        <v>125</v>
      </c>
      <c r="X183" s="155">
        <v>1</v>
      </c>
      <c r="Y183" s="155" t="s">
        <v>125</v>
      </c>
      <c r="Z183" s="155" t="s">
        <v>125</v>
      </c>
      <c r="AA183" s="155" t="s">
        <v>125</v>
      </c>
      <c r="AB183" s="49">
        <v>1</v>
      </c>
      <c r="AC183" s="173">
        <v>6</v>
      </c>
      <c r="AD183" s="148" t="s">
        <v>461</v>
      </c>
    </row>
    <row r="184" spans="20:30" ht="15.95" customHeight="1">
      <c r="T184" s="34" t="s">
        <v>309</v>
      </c>
      <c r="U184" s="35"/>
      <c r="V184" s="159">
        <v>3</v>
      </c>
      <c r="W184" s="155">
        <v>2</v>
      </c>
      <c r="X184" s="155">
        <v>1</v>
      </c>
      <c r="Y184" s="155" t="s">
        <v>125</v>
      </c>
      <c r="Z184" s="155" t="s">
        <v>125</v>
      </c>
      <c r="AA184" s="155" t="s">
        <v>125</v>
      </c>
      <c r="AB184" s="308" t="s">
        <v>125</v>
      </c>
      <c r="AC184" s="173">
        <v>14</v>
      </c>
      <c r="AD184" s="148" t="s">
        <v>461</v>
      </c>
    </row>
    <row r="185" spans="20:30" ht="15.95" customHeight="1">
      <c r="T185" s="34" t="s">
        <v>310</v>
      </c>
      <c r="U185" s="35"/>
      <c r="V185" s="159">
        <v>13</v>
      </c>
      <c r="W185" s="155">
        <v>4</v>
      </c>
      <c r="X185" s="155">
        <v>3</v>
      </c>
      <c r="Y185" s="155">
        <v>4</v>
      </c>
      <c r="Z185" s="155">
        <v>2</v>
      </c>
      <c r="AA185" s="155" t="s">
        <v>125</v>
      </c>
      <c r="AB185" s="308" t="s">
        <v>125</v>
      </c>
      <c r="AC185" s="173">
        <v>145</v>
      </c>
      <c r="AD185" s="148" t="s">
        <v>461</v>
      </c>
    </row>
    <row r="186" spans="20:30" ht="15.95" customHeight="1">
      <c r="T186" s="34" t="s">
        <v>311</v>
      </c>
      <c r="U186" s="35"/>
      <c r="V186" s="159">
        <v>123</v>
      </c>
      <c r="W186" s="155">
        <v>70</v>
      </c>
      <c r="X186" s="155">
        <v>27</v>
      </c>
      <c r="Y186" s="155">
        <v>12</v>
      </c>
      <c r="Z186" s="155">
        <v>6</v>
      </c>
      <c r="AA186" s="155">
        <v>8</v>
      </c>
      <c r="AB186" s="308" t="s">
        <v>125</v>
      </c>
      <c r="AC186" s="173">
        <v>1333</v>
      </c>
      <c r="AD186" s="148">
        <v>28680</v>
      </c>
    </row>
    <row r="187" spans="20:30" ht="15.95" customHeight="1">
      <c r="T187" s="34" t="s">
        <v>312</v>
      </c>
      <c r="U187" s="35"/>
      <c r="V187" s="159">
        <v>8</v>
      </c>
      <c r="W187" s="155">
        <v>5</v>
      </c>
      <c r="X187" s="155" t="s">
        <v>125</v>
      </c>
      <c r="Y187" s="155">
        <v>2</v>
      </c>
      <c r="Z187" s="155">
        <v>1</v>
      </c>
      <c r="AA187" s="155" t="s">
        <v>125</v>
      </c>
      <c r="AB187" s="308" t="s">
        <v>125</v>
      </c>
      <c r="AC187" s="173">
        <v>65</v>
      </c>
      <c r="AD187" s="148" t="s">
        <v>461</v>
      </c>
    </row>
    <row r="188" spans="20:30" ht="15.95" customHeight="1">
      <c r="T188" s="34" t="s">
        <v>313</v>
      </c>
      <c r="U188" s="35"/>
      <c r="V188" s="159">
        <v>14</v>
      </c>
      <c r="W188" s="155">
        <v>12</v>
      </c>
      <c r="X188" s="155" t="s">
        <v>125</v>
      </c>
      <c r="Y188" s="155" t="s">
        <v>125</v>
      </c>
      <c r="Z188" s="155" t="s">
        <v>125</v>
      </c>
      <c r="AA188" s="155">
        <v>1</v>
      </c>
      <c r="AB188" s="308" t="s">
        <v>125</v>
      </c>
      <c r="AC188" s="173">
        <v>213</v>
      </c>
      <c r="AD188" s="148">
        <v>809</v>
      </c>
    </row>
    <row r="189" spans="20:30" ht="15.95" customHeight="1">
      <c r="T189" s="34" t="s">
        <v>314</v>
      </c>
      <c r="U189" s="35"/>
      <c r="V189" s="159">
        <v>23</v>
      </c>
      <c r="W189" s="155">
        <v>20</v>
      </c>
      <c r="X189" s="155" t="s">
        <v>125</v>
      </c>
      <c r="Y189" s="155">
        <v>3</v>
      </c>
      <c r="Z189" s="155" t="s">
        <v>125</v>
      </c>
      <c r="AA189" s="155" t="s">
        <v>125</v>
      </c>
      <c r="AB189" s="49">
        <v>2</v>
      </c>
      <c r="AC189" s="173">
        <v>76</v>
      </c>
      <c r="AD189" s="148">
        <v>228</v>
      </c>
    </row>
    <row r="190" spans="20:30" ht="15.95" customHeight="1">
      <c r="T190" s="34" t="s">
        <v>315</v>
      </c>
      <c r="U190" s="35"/>
      <c r="V190" s="159">
        <v>64</v>
      </c>
      <c r="W190" s="155">
        <v>44</v>
      </c>
      <c r="X190" s="155">
        <v>10</v>
      </c>
      <c r="Y190" s="155">
        <v>6</v>
      </c>
      <c r="Z190" s="155">
        <v>3</v>
      </c>
      <c r="AA190" s="155">
        <v>1</v>
      </c>
      <c r="AB190" s="49">
        <v>1</v>
      </c>
      <c r="AC190" s="173">
        <v>438</v>
      </c>
      <c r="AD190" s="148">
        <v>691</v>
      </c>
    </row>
    <row r="191" spans="20:30" ht="15.95" customHeight="1">
      <c r="T191" s="34" t="s">
        <v>316</v>
      </c>
      <c r="U191" s="35"/>
      <c r="V191" s="159">
        <v>48</v>
      </c>
      <c r="W191" s="155">
        <v>39</v>
      </c>
      <c r="X191" s="155">
        <v>3</v>
      </c>
      <c r="Y191" s="155">
        <v>3</v>
      </c>
      <c r="Z191" s="155" t="s">
        <v>125</v>
      </c>
      <c r="AA191" s="155">
        <v>3</v>
      </c>
      <c r="AB191" s="49">
        <v>1</v>
      </c>
      <c r="AC191" s="173">
        <v>236</v>
      </c>
      <c r="AD191" s="148">
        <v>1678</v>
      </c>
    </row>
    <row r="192" spans="20:30" ht="15.95" customHeight="1">
      <c r="T192" s="34" t="s">
        <v>317</v>
      </c>
      <c r="U192" s="35"/>
      <c r="V192" s="159">
        <v>17</v>
      </c>
      <c r="W192" s="155">
        <v>11</v>
      </c>
      <c r="X192" s="155">
        <v>1</v>
      </c>
      <c r="Y192" s="155">
        <v>2</v>
      </c>
      <c r="Z192" s="155">
        <v>1</v>
      </c>
      <c r="AA192" s="155">
        <v>2</v>
      </c>
      <c r="AB192" s="49">
        <v>5</v>
      </c>
      <c r="AC192" s="173">
        <v>158</v>
      </c>
      <c r="AD192" s="148" t="s">
        <v>461</v>
      </c>
    </row>
    <row r="193" spans="1:30" ht="15.95" customHeight="1">
      <c r="T193" s="34" t="s">
        <v>318</v>
      </c>
      <c r="U193" s="35"/>
      <c r="V193" s="159">
        <v>41</v>
      </c>
      <c r="W193" s="155">
        <v>19</v>
      </c>
      <c r="X193" s="155">
        <v>6</v>
      </c>
      <c r="Y193" s="155">
        <v>9</v>
      </c>
      <c r="Z193" s="155" t="s">
        <v>125</v>
      </c>
      <c r="AA193" s="155">
        <v>7</v>
      </c>
      <c r="AB193" s="39">
        <v>5</v>
      </c>
      <c r="AC193" s="173">
        <v>784</v>
      </c>
      <c r="AD193" s="148">
        <v>4040</v>
      </c>
    </row>
    <row r="194" spans="1:30" ht="15.95" customHeight="1">
      <c r="T194" s="34" t="s">
        <v>319</v>
      </c>
      <c r="U194" s="35"/>
      <c r="V194" s="159">
        <v>5</v>
      </c>
      <c r="W194" s="155">
        <v>3</v>
      </c>
      <c r="X194" s="155">
        <v>1</v>
      </c>
      <c r="Y194" s="155" t="s">
        <v>125</v>
      </c>
      <c r="Z194" s="155" t="s">
        <v>125</v>
      </c>
      <c r="AA194" s="155">
        <v>1</v>
      </c>
      <c r="AB194" s="157" t="s">
        <v>125</v>
      </c>
      <c r="AC194" s="173">
        <v>62</v>
      </c>
      <c r="AD194" s="148" t="s">
        <v>461</v>
      </c>
    </row>
    <row r="195" spans="1:30" ht="15.95" customHeight="1">
      <c r="T195" s="34" t="s">
        <v>320</v>
      </c>
      <c r="U195" s="47"/>
      <c r="V195" s="159">
        <v>23</v>
      </c>
      <c r="W195" s="155">
        <v>15</v>
      </c>
      <c r="X195" s="155">
        <v>3</v>
      </c>
      <c r="Y195" s="155">
        <v>4</v>
      </c>
      <c r="Z195" s="155">
        <v>1</v>
      </c>
      <c r="AA195" s="155" t="s">
        <v>125</v>
      </c>
      <c r="AB195" s="157" t="s">
        <v>125</v>
      </c>
      <c r="AC195" s="173">
        <v>124</v>
      </c>
      <c r="AD195" s="148" t="s">
        <v>461</v>
      </c>
    </row>
    <row r="196" spans="1:30" ht="15.95" customHeight="1">
      <c r="T196" s="34" t="s">
        <v>470</v>
      </c>
      <c r="U196" s="47"/>
      <c r="V196" s="473">
        <v>9</v>
      </c>
      <c r="W196" s="143">
        <v>5</v>
      </c>
      <c r="X196" s="143">
        <v>2</v>
      </c>
      <c r="Y196" s="143" t="s">
        <v>125</v>
      </c>
      <c r="Z196" s="143">
        <v>1</v>
      </c>
      <c r="AA196" s="143">
        <v>1</v>
      </c>
      <c r="AB196" s="49">
        <v>9</v>
      </c>
      <c r="AC196" s="469">
        <v>133</v>
      </c>
      <c r="AD196" s="148" t="s">
        <v>125</v>
      </c>
    </row>
    <row r="197" spans="1:30" ht="15.95" customHeight="1">
      <c r="T197" s="52" t="s">
        <v>47</v>
      </c>
      <c r="U197" s="53"/>
      <c r="V197" s="160">
        <f>SUM(V179:V196)</f>
        <v>556</v>
      </c>
      <c r="W197" s="325">
        <f t="shared" ref="W197:AB197" si="4">SUM(W179:W196)</f>
        <v>335</v>
      </c>
      <c r="X197" s="325">
        <f t="shared" si="4"/>
        <v>99</v>
      </c>
      <c r="Y197" s="325">
        <f t="shared" si="4"/>
        <v>62</v>
      </c>
      <c r="Z197" s="325">
        <f t="shared" si="4"/>
        <v>22</v>
      </c>
      <c r="AA197" s="325">
        <f t="shared" si="4"/>
        <v>36</v>
      </c>
      <c r="AB197" s="55">
        <f t="shared" si="4"/>
        <v>24</v>
      </c>
      <c r="AC197" s="57">
        <f>SUM(AC179:AC196)</f>
        <v>5729</v>
      </c>
      <c r="AD197" s="175" t="s">
        <v>461</v>
      </c>
    </row>
    <row r="198" spans="1:30" ht="15.95" customHeight="1">
      <c r="AD198" s="114" t="s">
        <v>302</v>
      </c>
    </row>
    <row r="199" spans="1:30" ht="15.95" customHeight="1">
      <c r="T199" s="1" t="s">
        <v>464</v>
      </c>
      <c r="AD199" s="114"/>
    </row>
    <row r="200" spans="1:30" ht="15.95" customHeight="1">
      <c r="T200" s="179" t="s">
        <v>465</v>
      </c>
      <c r="U200" s="179"/>
      <c r="V200" s="179"/>
      <c r="W200" s="179"/>
      <c r="X200" s="179"/>
      <c r="Y200" s="179"/>
      <c r="Z200" s="179"/>
    </row>
    <row r="201" spans="1:30" ht="15.95" customHeight="1">
      <c r="T201" s="1" t="s">
        <v>466</v>
      </c>
    </row>
    <row r="202" spans="1:30" ht="15.95" customHeight="1">
      <c r="T202" s="1" t="s">
        <v>471</v>
      </c>
    </row>
    <row r="204" spans="1:30" ht="5.0999999999999996" customHeight="1">
      <c r="A204" s="33"/>
      <c r="B204" s="33"/>
      <c r="C204" s="33"/>
      <c r="D204" s="33"/>
      <c r="E204" s="33"/>
      <c r="F204" s="33"/>
      <c r="G204" s="33"/>
      <c r="H204" s="33"/>
      <c r="I204" s="33"/>
      <c r="J204" s="33"/>
      <c r="K204" s="33"/>
      <c r="L204" s="33"/>
      <c r="M204" s="33"/>
      <c r="N204" s="33"/>
      <c r="O204" s="33"/>
      <c r="P204" s="33"/>
      <c r="Q204" s="33"/>
    </row>
    <row r="205" spans="1:30" ht="15.95" customHeight="1">
      <c r="T205" s="2"/>
      <c r="U205" s="3"/>
      <c r="V205" s="6" t="s">
        <v>467</v>
      </c>
      <c r="W205" s="4"/>
      <c r="X205" s="4"/>
      <c r="Y205" s="4"/>
      <c r="Z205" s="4"/>
      <c r="AA205" s="5"/>
      <c r="AB205" s="4"/>
      <c r="AC205" s="7"/>
      <c r="AD205" s="88"/>
    </row>
    <row r="206" spans="1:30" ht="15.95" customHeight="1">
      <c r="T206" s="8" t="s">
        <v>8</v>
      </c>
      <c r="U206" s="9"/>
      <c r="V206" s="464" t="s">
        <v>9</v>
      </c>
      <c r="W206" s="11" t="s">
        <v>111</v>
      </c>
      <c r="X206" s="12"/>
      <c r="Y206" s="12"/>
      <c r="Z206" s="12"/>
      <c r="AA206" s="13"/>
      <c r="AB206" s="694" t="s">
        <v>297</v>
      </c>
      <c r="AC206" s="465" t="s">
        <v>12</v>
      </c>
      <c r="AD206" s="15" t="s">
        <v>298</v>
      </c>
    </row>
    <row r="207" spans="1:30" ht="15.95" customHeight="1">
      <c r="T207" s="16"/>
      <c r="U207" s="17"/>
      <c r="V207" s="467"/>
      <c r="W207" s="64" t="s">
        <v>51</v>
      </c>
      <c r="X207" s="64" t="s">
        <v>55</v>
      </c>
      <c r="Y207" s="64" t="s">
        <v>56</v>
      </c>
      <c r="Z207" s="20" t="s">
        <v>57</v>
      </c>
      <c r="AA207" s="65" t="s">
        <v>53</v>
      </c>
      <c r="AB207" s="695"/>
      <c r="AC207" s="468" t="s">
        <v>13</v>
      </c>
      <c r="AD207" s="301" t="s">
        <v>322</v>
      </c>
    </row>
    <row r="208" spans="1:30" ht="15.95" customHeight="1">
      <c r="T208" s="24" t="s">
        <v>304</v>
      </c>
      <c r="U208" s="25"/>
      <c r="V208" s="326">
        <v>6</v>
      </c>
      <c r="W208" s="155">
        <v>3</v>
      </c>
      <c r="X208" s="155">
        <v>2</v>
      </c>
      <c r="Y208" s="155">
        <v>1</v>
      </c>
      <c r="Z208" s="155" t="s">
        <v>125</v>
      </c>
      <c r="AA208" s="155" t="s">
        <v>125</v>
      </c>
      <c r="AB208" s="152"/>
      <c r="AC208" s="173">
        <v>42</v>
      </c>
      <c r="AD208" s="148">
        <v>936</v>
      </c>
    </row>
    <row r="209" spans="20:30" ht="15.95" customHeight="1">
      <c r="T209" s="34" t="s">
        <v>305</v>
      </c>
      <c r="U209" s="35"/>
      <c r="V209" s="159" t="s">
        <v>125</v>
      </c>
      <c r="W209" s="155" t="s">
        <v>125</v>
      </c>
      <c r="X209" s="155" t="s">
        <v>125</v>
      </c>
      <c r="Y209" s="155" t="s">
        <v>125</v>
      </c>
      <c r="Z209" s="155" t="s">
        <v>125</v>
      </c>
      <c r="AA209" s="155" t="s">
        <v>125</v>
      </c>
      <c r="AB209" s="157"/>
      <c r="AC209" s="155" t="s">
        <v>125</v>
      </c>
      <c r="AD209" s="148" t="s">
        <v>125</v>
      </c>
    </row>
    <row r="210" spans="20:30" ht="15.95" customHeight="1">
      <c r="T210" s="34" t="s">
        <v>306</v>
      </c>
      <c r="U210" s="35"/>
      <c r="V210" s="159">
        <v>70</v>
      </c>
      <c r="W210" s="155">
        <v>41</v>
      </c>
      <c r="X210" s="155">
        <v>15</v>
      </c>
      <c r="Y210" s="155">
        <v>11</v>
      </c>
      <c r="Z210" s="155">
        <v>1</v>
      </c>
      <c r="AA210" s="155">
        <v>1</v>
      </c>
      <c r="AB210" s="39"/>
      <c r="AC210" s="173">
        <v>431</v>
      </c>
      <c r="AD210" s="148" t="s">
        <v>461</v>
      </c>
    </row>
    <row r="211" spans="20:30" ht="15.95" customHeight="1">
      <c r="T211" s="34" t="s">
        <v>307</v>
      </c>
      <c r="U211" s="35"/>
      <c r="V211" s="159">
        <v>68</v>
      </c>
      <c r="W211" s="143">
        <v>27</v>
      </c>
      <c r="X211" s="143">
        <v>16</v>
      </c>
      <c r="Y211" s="143">
        <v>9</v>
      </c>
      <c r="Z211" s="143">
        <v>6</v>
      </c>
      <c r="AA211" s="143">
        <v>10</v>
      </c>
      <c r="AB211" s="49"/>
      <c r="AC211" s="173">
        <v>1360</v>
      </c>
      <c r="AD211" s="148">
        <v>21645</v>
      </c>
    </row>
    <row r="212" spans="20:30" ht="15.95" customHeight="1">
      <c r="T212" s="34" t="s">
        <v>308</v>
      </c>
      <c r="U212" s="35"/>
      <c r="V212" s="159" t="s">
        <v>125</v>
      </c>
      <c r="W212" s="155" t="s">
        <v>125</v>
      </c>
      <c r="X212" s="155" t="s">
        <v>125</v>
      </c>
      <c r="Y212" s="155" t="s">
        <v>125</v>
      </c>
      <c r="Z212" s="155" t="s">
        <v>125</v>
      </c>
      <c r="AA212" s="155" t="s">
        <v>125</v>
      </c>
      <c r="AB212" s="49"/>
      <c r="AC212" s="155" t="s">
        <v>125</v>
      </c>
      <c r="AD212" s="148" t="s">
        <v>461</v>
      </c>
    </row>
    <row r="213" spans="20:30" ht="15.95" customHeight="1">
      <c r="T213" s="34" t="s">
        <v>309</v>
      </c>
      <c r="U213" s="35"/>
      <c r="V213" s="159">
        <v>2</v>
      </c>
      <c r="W213" s="155">
        <v>2</v>
      </c>
      <c r="X213" s="155" t="s">
        <v>125</v>
      </c>
      <c r="Y213" s="155" t="s">
        <v>125</v>
      </c>
      <c r="Z213" s="155" t="s">
        <v>125</v>
      </c>
      <c r="AA213" s="155" t="s">
        <v>125</v>
      </c>
      <c r="AB213" s="49"/>
      <c r="AC213" s="173">
        <v>5</v>
      </c>
      <c r="AD213" s="148" t="s">
        <v>461</v>
      </c>
    </row>
    <row r="214" spans="20:30" ht="15.95" customHeight="1">
      <c r="T214" s="34" t="s">
        <v>310</v>
      </c>
      <c r="U214" s="35"/>
      <c r="V214" s="159">
        <v>10</v>
      </c>
      <c r="W214" s="155">
        <v>3</v>
      </c>
      <c r="X214" s="155">
        <v>1</v>
      </c>
      <c r="Y214" s="155">
        <v>1</v>
      </c>
      <c r="Z214" s="155">
        <v>5</v>
      </c>
      <c r="AA214" s="155" t="s">
        <v>125</v>
      </c>
      <c r="AB214" s="49"/>
      <c r="AC214" s="173">
        <v>149</v>
      </c>
      <c r="AD214" s="148" t="s">
        <v>461</v>
      </c>
    </row>
    <row r="215" spans="20:30" ht="15.95" customHeight="1">
      <c r="T215" s="34" t="s">
        <v>311</v>
      </c>
      <c r="U215" s="35"/>
      <c r="V215" s="159">
        <v>122</v>
      </c>
      <c r="W215" s="155">
        <v>66</v>
      </c>
      <c r="X215" s="155">
        <v>30</v>
      </c>
      <c r="Y215" s="155">
        <v>16</v>
      </c>
      <c r="Z215" s="155">
        <v>4</v>
      </c>
      <c r="AA215" s="155">
        <v>6</v>
      </c>
      <c r="AB215" s="49"/>
      <c r="AC215" s="173">
        <v>992</v>
      </c>
      <c r="AD215" s="148">
        <v>32588</v>
      </c>
    </row>
    <row r="216" spans="20:30" ht="15.95" customHeight="1">
      <c r="T216" s="34" t="s">
        <v>312</v>
      </c>
      <c r="U216" s="35"/>
      <c r="V216" s="159">
        <v>7</v>
      </c>
      <c r="W216" s="155">
        <v>3</v>
      </c>
      <c r="X216" s="155">
        <v>1</v>
      </c>
      <c r="Y216" s="155">
        <v>2</v>
      </c>
      <c r="Z216" s="155" t="s">
        <v>125</v>
      </c>
      <c r="AA216" s="155">
        <v>1</v>
      </c>
      <c r="AB216" s="49"/>
      <c r="AC216" s="173">
        <v>72</v>
      </c>
      <c r="AD216" s="148" t="s">
        <v>461</v>
      </c>
    </row>
    <row r="217" spans="20:30" ht="15.95" customHeight="1">
      <c r="T217" s="34" t="s">
        <v>313</v>
      </c>
      <c r="U217" s="35"/>
      <c r="V217" s="159">
        <v>15</v>
      </c>
      <c r="W217" s="155">
        <v>14</v>
      </c>
      <c r="X217" s="155">
        <v>1</v>
      </c>
      <c r="Y217" s="155" t="s">
        <v>125</v>
      </c>
      <c r="Z217" s="155" t="s">
        <v>125</v>
      </c>
      <c r="AA217" s="155" t="s">
        <v>125</v>
      </c>
      <c r="AB217" s="49"/>
      <c r="AC217" s="173">
        <v>33</v>
      </c>
      <c r="AD217" s="148">
        <v>969</v>
      </c>
    </row>
    <row r="218" spans="20:30" ht="15.95" customHeight="1">
      <c r="T218" s="34" t="s">
        <v>314</v>
      </c>
      <c r="U218" s="35"/>
      <c r="V218" s="159">
        <v>21</v>
      </c>
      <c r="W218" s="155">
        <v>17</v>
      </c>
      <c r="X218" s="155">
        <v>2</v>
      </c>
      <c r="Y218" s="155">
        <v>2</v>
      </c>
      <c r="Z218" s="155" t="s">
        <v>125</v>
      </c>
      <c r="AA218" s="155" t="s">
        <v>125</v>
      </c>
      <c r="AB218" s="49"/>
      <c r="AC218" s="173">
        <v>62</v>
      </c>
      <c r="AD218" s="148">
        <v>251</v>
      </c>
    </row>
    <row r="219" spans="20:30" ht="15.95" customHeight="1">
      <c r="T219" s="34" t="s">
        <v>315</v>
      </c>
      <c r="U219" s="35"/>
      <c r="V219" s="159">
        <v>54</v>
      </c>
      <c r="W219" s="155">
        <v>39</v>
      </c>
      <c r="X219" s="155">
        <v>7</v>
      </c>
      <c r="Y219" s="155">
        <v>6</v>
      </c>
      <c r="Z219" s="155">
        <v>2</v>
      </c>
      <c r="AA219" s="155" t="s">
        <v>125</v>
      </c>
      <c r="AB219" s="49"/>
      <c r="AC219" s="173">
        <v>264</v>
      </c>
      <c r="AD219" s="148">
        <v>887</v>
      </c>
    </row>
    <row r="220" spans="20:30" ht="15.95" customHeight="1">
      <c r="T220" s="34" t="s">
        <v>316</v>
      </c>
      <c r="U220" s="35"/>
      <c r="V220" s="159">
        <v>48</v>
      </c>
      <c r="W220" s="155">
        <v>38</v>
      </c>
      <c r="X220" s="155">
        <v>3</v>
      </c>
      <c r="Y220" s="155">
        <v>4</v>
      </c>
      <c r="Z220" s="155">
        <v>1</v>
      </c>
      <c r="AA220" s="155">
        <v>2</v>
      </c>
      <c r="AB220" s="49"/>
      <c r="AC220" s="173">
        <v>235</v>
      </c>
      <c r="AD220" s="148">
        <v>3797</v>
      </c>
    </row>
    <row r="221" spans="20:30" ht="15.95" customHeight="1">
      <c r="T221" s="34" t="s">
        <v>317</v>
      </c>
      <c r="U221" s="35"/>
      <c r="V221" s="159">
        <v>12</v>
      </c>
      <c r="W221" s="155">
        <v>9</v>
      </c>
      <c r="X221" s="155">
        <v>2</v>
      </c>
      <c r="Y221" s="155" t="s">
        <v>125</v>
      </c>
      <c r="Z221" s="155">
        <v>1</v>
      </c>
      <c r="AA221" s="155" t="s">
        <v>125</v>
      </c>
      <c r="AB221" s="49"/>
      <c r="AC221" s="173">
        <v>57</v>
      </c>
      <c r="AD221" s="148" t="s">
        <v>461</v>
      </c>
    </row>
    <row r="222" spans="20:30" ht="15.95" customHeight="1">
      <c r="T222" s="34" t="s">
        <v>318</v>
      </c>
      <c r="U222" s="35"/>
      <c r="V222" s="159">
        <v>35</v>
      </c>
      <c r="W222" s="155">
        <v>14</v>
      </c>
      <c r="X222" s="155">
        <v>7</v>
      </c>
      <c r="Y222" s="155">
        <v>6</v>
      </c>
      <c r="Z222" s="155">
        <v>2</v>
      </c>
      <c r="AA222" s="155">
        <v>6</v>
      </c>
      <c r="AB222" s="39"/>
      <c r="AC222" s="173">
        <v>854</v>
      </c>
      <c r="AD222" s="148">
        <v>4818</v>
      </c>
    </row>
    <row r="223" spans="20:30" ht="15.95" customHeight="1">
      <c r="T223" s="34" t="s">
        <v>319</v>
      </c>
      <c r="U223" s="35"/>
      <c r="V223" s="159">
        <v>5</v>
      </c>
      <c r="W223" s="155">
        <v>2</v>
      </c>
      <c r="X223" s="155">
        <v>2</v>
      </c>
      <c r="Y223" s="155" t="s">
        <v>125</v>
      </c>
      <c r="Z223" s="155" t="s">
        <v>125</v>
      </c>
      <c r="AA223" s="155">
        <v>1</v>
      </c>
      <c r="AB223" s="39"/>
      <c r="AC223" s="173">
        <v>61</v>
      </c>
      <c r="AD223" s="148" t="s">
        <v>461</v>
      </c>
    </row>
    <row r="224" spans="20:30" ht="15.95" customHeight="1">
      <c r="T224" s="34" t="s">
        <v>320</v>
      </c>
      <c r="U224" s="47"/>
      <c r="V224" s="159">
        <v>23</v>
      </c>
      <c r="W224" s="155">
        <v>15</v>
      </c>
      <c r="X224" s="155">
        <v>4</v>
      </c>
      <c r="Y224" s="155">
        <v>4</v>
      </c>
      <c r="Z224" s="155" t="s">
        <v>125</v>
      </c>
      <c r="AA224" s="155" t="s">
        <v>125</v>
      </c>
      <c r="AB224" s="39"/>
      <c r="AC224" s="173">
        <v>116</v>
      </c>
      <c r="AD224" s="148" t="s">
        <v>461</v>
      </c>
    </row>
    <row r="225" spans="2:30" ht="15.95" customHeight="1">
      <c r="T225" s="52" t="s">
        <v>47</v>
      </c>
      <c r="U225" s="53"/>
      <c r="V225" s="160">
        <f t="shared" ref="V225:AC225" si="5">SUM(V208:V224)</f>
        <v>498</v>
      </c>
      <c r="W225" s="325">
        <f t="shared" si="5"/>
        <v>293</v>
      </c>
      <c r="X225" s="325">
        <f t="shared" si="5"/>
        <v>93</v>
      </c>
      <c r="Y225" s="325">
        <f t="shared" si="5"/>
        <v>62</v>
      </c>
      <c r="Z225" s="325">
        <f t="shared" si="5"/>
        <v>22</v>
      </c>
      <c r="AA225" s="325">
        <f t="shared" si="5"/>
        <v>27</v>
      </c>
      <c r="AB225" s="55"/>
      <c r="AC225" s="57">
        <f t="shared" si="5"/>
        <v>4733</v>
      </c>
      <c r="AD225" s="175" t="s">
        <v>461</v>
      </c>
    </row>
    <row r="226" spans="2:30" ht="15.95" customHeight="1">
      <c r="AD226" s="114" t="s">
        <v>302</v>
      </c>
    </row>
    <row r="227" spans="2:30" ht="15.95" customHeight="1">
      <c r="T227" s="1" t="s">
        <v>476</v>
      </c>
      <c r="AD227" s="114"/>
    </row>
    <row r="228" spans="2:30" ht="15.95" customHeight="1">
      <c r="T228" s="1" t="s">
        <v>474</v>
      </c>
      <c r="AD228" s="114"/>
    </row>
    <row r="229" spans="2:30" ht="15.95" customHeight="1">
      <c r="T229" s="1" t="s">
        <v>475</v>
      </c>
      <c r="V229" s="179"/>
      <c r="W229" s="179"/>
      <c r="X229" s="179"/>
      <c r="Y229" s="179"/>
      <c r="Z229" s="179"/>
    </row>
    <row r="230" spans="2:30" ht="15.95" customHeight="1">
      <c r="B230" s="34" t="s">
        <v>462</v>
      </c>
      <c r="C230" s="35"/>
      <c r="D230" s="159">
        <f t="shared" ref="D230:D232" si="6">SUM(E230:I230)</f>
        <v>36</v>
      </c>
      <c r="E230" s="155">
        <v>14</v>
      </c>
      <c r="F230" s="155">
        <v>9</v>
      </c>
      <c r="G230" s="155">
        <v>5</v>
      </c>
      <c r="H230" s="155">
        <v>2</v>
      </c>
      <c r="I230" s="155">
        <v>6</v>
      </c>
      <c r="J230" s="157"/>
      <c r="K230" s="173">
        <v>1283</v>
      </c>
      <c r="L230" s="148">
        <v>8758</v>
      </c>
      <c r="T230" s="472" t="s">
        <v>473</v>
      </c>
      <c r="U230" s="179"/>
    </row>
    <row r="231" spans="2:30" ht="15.95" customHeight="1">
      <c r="B231" s="34" t="s">
        <v>463</v>
      </c>
      <c r="C231" s="35"/>
      <c r="D231" s="159">
        <f t="shared" si="6"/>
        <v>5</v>
      </c>
      <c r="E231" s="155">
        <v>2</v>
      </c>
      <c r="F231" s="155">
        <v>2</v>
      </c>
      <c r="G231" s="155">
        <v>1</v>
      </c>
      <c r="H231" s="155" t="s">
        <v>125</v>
      </c>
      <c r="I231" s="155" t="s">
        <v>125</v>
      </c>
      <c r="J231" s="157"/>
      <c r="K231" s="173">
        <v>31</v>
      </c>
      <c r="L231" s="148" t="s">
        <v>461</v>
      </c>
      <c r="T231" s="1" t="s">
        <v>466</v>
      </c>
    </row>
    <row r="232" spans="2:30" ht="15.95" customHeight="1">
      <c r="B232" s="34" t="s">
        <v>320</v>
      </c>
      <c r="C232" s="47"/>
      <c r="D232" s="159">
        <f t="shared" si="6"/>
        <v>24</v>
      </c>
      <c r="E232" s="155">
        <v>18</v>
      </c>
      <c r="F232" s="155">
        <v>4</v>
      </c>
      <c r="G232" s="155">
        <v>2</v>
      </c>
      <c r="H232" s="155" t="s">
        <v>125</v>
      </c>
      <c r="I232" s="155" t="s">
        <v>125</v>
      </c>
      <c r="J232" s="157"/>
      <c r="K232" s="173">
        <v>81</v>
      </c>
      <c r="L232" s="148" t="s">
        <v>461</v>
      </c>
      <c r="T232" s="1" t="s">
        <v>471</v>
      </c>
    </row>
    <row r="233" spans="2:30" ht="15" customHeight="1">
      <c r="B233" s="52" t="s">
        <v>47</v>
      </c>
      <c r="C233" s="53"/>
      <c r="D233" s="160">
        <f>SUM(D216:D232)</f>
        <v>65</v>
      </c>
      <c r="E233" s="470">
        <f>SUM(E216:E232)</f>
        <v>34</v>
      </c>
      <c r="F233" s="470">
        <f t="shared" ref="F233:I233" si="7">SUM(F216:F232)</f>
        <v>15</v>
      </c>
      <c r="G233" s="470">
        <f t="shared" si="7"/>
        <v>8</v>
      </c>
      <c r="H233" s="470">
        <f t="shared" si="7"/>
        <v>2</v>
      </c>
      <c r="I233" s="470">
        <f t="shared" si="7"/>
        <v>6</v>
      </c>
      <c r="J233" s="161"/>
      <c r="K233" s="471">
        <f>SUM(K216:K232)</f>
        <v>1395</v>
      </c>
      <c r="L233" s="175" t="s">
        <v>461</v>
      </c>
    </row>
    <row r="234" spans="2:30" ht="14.1" customHeight="1">
      <c r="B234" s="1" t="s">
        <v>468</v>
      </c>
      <c r="L234" s="114" t="s">
        <v>303</v>
      </c>
    </row>
    <row r="235" spans="2:30" ht="14.1" customHeight="1">
      <c r="B235" s="1" t="s">
        <v>415</v>
      </c>
    </row>
    <row r="236" spans="2:30" ht="14.1" customHeight="1">
      <c r="B236" s="472" t="s">
        <v>414</v>
      </c>
      <c r="C236" s="466"/>
      <c r="D236" s="466"/>
      <c r="E236" s="466"/>
      <c r="F236" s="466"/>
      <c r="G236" s="466"/>
      <c r="H236" s="466"/>
    </row>
    <row r="237" spans="2:30" ht="14.1" customHeight="1">
      <c r="B237" s="1" t="s">
        <v>469</v>
      </c>
    </row>
  </sheetData>
  <mergeCells count="11">
    <mergeCell ref="AB177:AB178"/>
    <mergeCell ref="AB206:AB207"/>
    <mergeCell ref="D19:J19"/>
    <mergeCell ref="AB3:AB4"/>
    <mergeCell ref="AB20:AB21"/>
    <mergeCell ref="V39:AD39"/>
    <mergeCell ref="AB40:AB41"/>
    <mergeCell ref="AB114:AB115"/>
    <mergeCell ref="AB146:AB147"/>
    <mergeCell ref="AB57:AB58"/>
    <mergeCell ref="AB77:AB78"/>
  </mergeCells>
  <phoneticPr fontId="3"/>
  <pageMargins left="0.59055118110236227" right="0.59055118110236227" top="1.3779527559055118" bottom="0.78740157480314965" header="0.98425196850393704" footer="0.51181102362204722"/>
  <pageSetup paperSize="9" orientation="landscape" horizontalDpi="1200" verticalDpi="1200" r:id="rId1"/>
  <headerFooter alignWithMargins="0">
    <oddHeader>&amp;L&amp;"HGｺﾞｼｯｸM,ﾒﾃﾞｨｳﾑ"&amp;16事業所数・従業者数・売上金額&amp;R&amp;"HGｺﾞｼｯｸM,ﾒﾃﾞｨｳﾑ"
高森町　②産業　C0202-1事業所数・従業者数・売上金額</oddHeader>
    <oddFooter>&amp;R&amp;"HGｺﾞｼｯｸM,ﾒﾃﾞｨｳﾑ"C0202-1事業所数・従業者数・売上金額　&amp;P/&amp;N</oddFooter>
  </headerFooter>
  <rowBreaks count="3" manualBreakCount="3">
    <brk id="143" max="16383" man="1"/>
    <brk id="174" max="16383" man="1"/>
    <brk id="203" max="16383" man="1"/>
  </rowBreaks>
  <drawing r:id="rId2"/>
</worksheet>
</file>

<file path=xl/worksheets/sheet8.xml><?xml version="1.0" encoding="utf-8"?>
<worksheet xmlns="http://schemas.openxmlformats.org/spreadsheetml/2006/main" xmlns:r="http://schemas.openxmlformats.org/officeDocument/2006/relationships">
  <dimension ref="B1:AE199"/>
  <sheetViews>
    <sheetView showGridLines="0" view="pageBreakPreview" topLeftCell="A19" zoomScale="70" zoomScaleNormal="100" zoomScaleSheetLayoutView="70" workbookViewId="0">
      <selection activeCell="H56" sqref="H56"/>
    </sheetView>
  </sheetViews>
  <sheetFormatPr defaultColWidth="8.875" defaultRowHeight="18" customHeight="1"/>
  <cols>
    <col min="1" max="1" width="1.75" style="1" customWidth="1"/>
    <col min="2" max="2" width="13.75" style="1" customWidth="1"/>
    <col min="3" max="3" width="12.75" style="1" customWidth="1"/>
    <col min="4" max="4" width="12.75" style="70" customWidth="1"/>
    <col min="5" max="5" width="13.75" style="70" customWidth="1"/>
    <col min="6" max="6" width="12.75" style="70" customWidth="1"/>
    <col min="7" max="7" width="13.75" style="70" customWidth="1"/>
    <col min="8" max="8" width="12.75" style="70" customWidth="1"/>
    <col min="9" max="9" width="13.75" style="70" customWidth="1"/>
    <col min="10" max="10" width="12.75" style="70" customWidth="1"/>
    <col min="11" max="11" width="13.75" style="70" customWidth="1"/>
    <col min="12" max="13" width="1.75" style="1" customWidth="1"/>
    <col min="14" max="14" width="42.625" style="1" bestFit="1" customWidth="1"/>
    <col min="15" max="24" width="9.125" style="70" customWidth="1"/>
    <col min="25" max="25" width="9.125" style="1" customWidth="1"/>
    <col min="26" max="26" width="1.75" style="1" customWidth="1"/>
    <col min="27" max="16384" width="8.875" style="1"/>
  </cols>
  <sheetData>
    <row r="1" spans="2:24" ht="15.95" customHeight="1">
      <c r="I1" s="71" t="s">
        <v>46</v>
      </c>
      <c r="N1" s="33"/>
      <c r="O1" s="30"/>
      <c r="P1" s="30"/>
      <c r="Q1" s="30"/>
      <c r="R1" s="30"/>
      <c r="S1" s="30"/>
      <c r="T1" s="30"/>
      <c r="U1" s="30"/>
      <c r="V1" s="114"/>
    </row>
    <row r="2" spans="2:24" ht="15" customHeight="1">
      <c r="B2" s="652" t="s">
        <v>45</v>
      </c>
      <c r="C2" s="686"/>
      <c r="D2" s="167" t="s">
        <v>356</v>
      </c>
      <c r="E2" s="115"/>
      <c r="F2" s="115"/>
      <c r="G2" s="115"/>
      <c r="H2" s="115"/>
      <c r="I2" s="75"/>
      <c r="J2" s="1"/>
      <c r="K2" s="1"/>
      <c r="N2" s="705"/>
      <c r="O2" s="706"/>
      <c r="P2" s="706"/>
      <c r="Q2" s="706"/>
      <c r="R2" s="706"/>
      <c r="S2" s="706"/>
      <c r="T2" s="706"/>
      <c r="U2" s="706"/>
      <c r="V2" s="706"/>
      <c r="W2" s="1"/>
      <c r="X2" s="1"/>
    </row>
    <row r="3" spans="2:24" ht="15" customHeight="1">
      <c r="B3" s="712"/>
      <c r="C3" s="713"/>
      <c r="D3" s="334" t="s">
        <v>62</v>
      </c>
      <c r="E3" s="335" t="s">
        <v>0</v>
      </c>
      <c r="F3" s="336" t="s">
        <v>10</v>
      </c>
      <c r="G3" s="336" t="s">
        <v>21</v>
      </c>
      <c r="H3" s="336" t="s">
        <v>63</v>
      </c>
      <c r="I3" s="337" t="s">
        <v>64</v>
      </c>
      <c r="J3" s="1"/>
      <c r="K3" s="1"/>
      <c r="N3" s="705"/>
      <c r="O3" s="475"/>
      <c r="P3" s="475"/>
      <c r="Q3" s="475"/>
      <c r="R3" s="475"/>
      <c r="S3" s="475"/>
      <c r="T3" s="475"/>
      <c r="U3" s="475"/>
      <c r="V3" s="475"/>
      <c r="W3" s="1"/>
      <c r="X3" s="1"/>
    </row>
    <row r="4" spans="2:24" ht="15" customHeight="1">
      <c r="B4" s="8" t="s">
        <v>22</v>
      </c>
      <c r="C4" s="59"/>
      <c r="D4" s="162">
        <v>12139</v>
      </c>
      <c r="E4" s="163">
        <v>15493</v>
      </c>
      <c r="F4" s="163">
        <v>13884</v>
      </c>
      <c r="G4" s="163">
        <v>13767</v>
      </c>
      <c r="H4" s="332">
        <v>16486</v>
      </c>
      <c r="I4" s="333">
        <v>19494</v>
      </c>
      <c r="J4" s="1"/>
      <c r="K4" s="1"/>
      <c r="N4" s="474"/>
      <c r="O4" s="114"/>
      <c r="P4" s="114"/>
      <c r="Q4" s="114"/>
      <c r="R4" s="114"/>
      <c r="S4" s="114"/>
      <c r="T4" s="114"/>
      <c r="U4" s="114"/>
      <c r="V4" s="114"/>
      <c r="W4" s="1"/>
      <c r="X4" s="1"/>
    </row>
    <row r="5" spans="2:24" ht="15" customHeight="1">
      <c r="B5" s="66"/>
      <c r="C5" s="67"/>
      <c r="D5" s="159"/>
      <c r="E5" s="157"/>
      <c r="F5" s="157"/>
      <c r="G5" s="157"/>
      <c r="H5" s="119"/>
      <c r="I5" s="158"/>
      <c r="J5" s="1"/>
      <c r="K5" s="1"/>
      <c r="N5" s="244"/>
      <c r="O5" s="114"/>
      <c r="P5" s="114"/>
      <c r="Q5" s="114"/>
      <c r="R5" s="114"/>
      <c r="S5" s="114"/>
      <c r="T5" s="114"/>
      <c r="U5" s="114"/>
      <c r="V5" s="114"/>
      <c r="W5" s="1"/>
      <c r="X5" s="1"/>
    </row>
    <row r="6" spans="2:24" ht="15" customHeight="1">
      <c r="B6" s="66" t="s">
        <v>23</v>
      </c>
      <c r="C6" s="67"/>
      <c r="D6" s="159" t="s">
        <v>139</v>
      </c>
      <c r="E6" s="157">
        <v>1073</v>
      </c>
      <c r="F6" s="157">
        <v>1219</v>
      </c>
      <c r="G6" s="157">
        <v>1505</v>
      </c>
      <c r="H6" s="119">
        <v>2169</v>
      </c>
      <c r="I6" s="158">
        <v>2652</v>
      </c>
      <c r="J6" s="1"/>
      <c r="K6" s="1"/>
      <c r="N6" s="244"/>
      <c r="O6" s="114"/>
      <c r="P6" s="114"/>
      <c r="Q6" s="114"/>
      <c r="R6" s="114"/>
      <c r="S6" s="114"/>
      <c r="T6" s="114"/>
      <c r="U6" s="114"/>
      <c r="V6" s="114"/>
      <c r="W6" s="1"/>
      <c r="X6" s="1"/>
    </row>
    <row r="7" spans="2:24" ht="15" customHeight="1">
      <c r="B7" s="66" t="s">
        <v>24</v>
      </c>
      <c r="C7" s="67"/>
      <c r="D7" s="159" t="s">
        <v>139</v>
      </c>
      <c r="E7" s="157">
        <v>71</v>
      </c>
      <c r="F7" s="157">
        <v>46</v>
      </c>
      <c r="G7" s="157">
        <v>71</v>
      </c>
      <c r="H7" s="119">
        <v>42</v>
      </c>
      <c r="I7" s="158">
        <v>35</v>
      </c>
      <c r="J7" s="1"/>
      <c r="K7" s="1"/>
      <c r="N7" s="244"/>
      <c r="O7" s="114"/>
      <c r="P7" s="114"/>
      <c r="Q7" s="114"/>
      <c r="R7" s="114"/>
      <c r="S7" s="114"/>
      <c r="T7" s="114"/>
      <c r="U7" s="114"/>
      <c r="V7" s="114"/>
      <c r="W7" s="1"/>
      <c r="X7" s="1"/>
    </row>
    <row r="8" spans="2:24" ht="15" customHeight="1">
      <c r="B8" s="66" t="s">
        <v>25</v>
      </c>
      <c r="C8" s="67"/>
      <c r="D8" s="159" t="s">
        <v>125</v>
      </c>
      <c r="E8" s="157">
        <v>40</v>
      </c>
      <c r="F8" s="157">
        <v>85</v>
      </c>
      <c r="G8" s="157" t="s">
        <v>139</v>
      </c>
      <c r="H8" s="119" t="s">
        <v>139</v>
      </c>
      <c r="I8" s="158" t="s">
        <v>139</v>
      </c>
      <c r="J8" s="1"/>
      <c r="K8" s="1"/>
      <c r="N8" s="244"/>
      <c r="O8" s="114"/>
      <c r="P8" s="114"/>
      <c r="Q8" s="114"/>
      <c r="R8" s="114"/>
      <c r="S8" s="114"/>
      <c r="T8" s="114"/>
      <c r="U8" s="114"/>
      <c r="V8" s="114"/>
      <c r="W8" s="1"/>
      <c r="X8" s="1"/>
    </row>
    <row r="9" spans="2:24" ht="15" customHeight="1">
      <c r="B9" s="66" t="s">
        <v>26</v>
      </c>
      <c r="C9" s="67"/>
      <c r="D9" s="159">
        <v>392</v>
      </c>
      <c r="E9" s="157">
        <v>89</v>
      </c>
      <c r="F9" s="157">
        <v>146</v>
      </c>
      <c r="G9" s="157">
        <v>187</v>
      </c>
      <c r="H9" s="119">
        <v>165</v>
      </c>
      <c r="I9" s="158">
        <v>171</v>
      </c>
      <c r="J9" s="1"/>
      <c r="K9" s="1"/>
      <c r="N9" s="244"/>
      <c r="O9" s="114"/>
      <c r="P9" s="114"/>
      <c r="Q9" s="114"/>
      <c r="R9" s="114"/>
      <c r="S9" s="114"/>
      <c r="T9" s="114"/>
      <c r="U9" s="114"/>
      <c r="V9" s="114"/>
      <c r="W9" s="1"/>
      <c r="X9" s="1"/>
    </row>
    <row r="10" spans="2:24" ht="15" customHeight="1">
      <c r="B10" s="66" t="s">
        <v>27</v>
      </c>
      <c r="C10" s="67"/>
      <c r="D10" s="159" t="s">
        <v>139</v>
      </c>
      <c r="E10" s="157">
        <v>513</v>
      </c>
      <c r="F10" s="157">
        <v>427</v>
      </c>
      <c r="G10" s="157" t="s">
        <v>139</v>
      </c>
      <c r="H10" s="119" t="s">
        <v>139</v>
      </c>
      <c r="I10" s="158" t="s">
        <v>139</v>
      </c>
      <c r="J10" s="1"/>
      <c r="K10" s="1"/>
      <c r="N10" s="244"/>
      <c r="O10" s="114"/>
      <c r="P10" s="114"/>
      <c r="Q10" s="114"/>
      <c r="R10" s="114"/>
      <c r="S10" s="114"/>
      <c r="T10" s="114"/>
      <c r="U10" s="114"/>
      <c r="V10" s="114"/>
      <c r="W10" s="1"/>
      <c r="X10" s="1"/>
    </row>
    <row r="11" spans="2:24" ht="15" customHeight="1">
      <c r="B11" s="66"/>
      <c r="C11" s="67"/>
      <c r="D11" s="159"/>
      <c r="E11" s="157"/>
      <c r="F11" s="157"/>
      <c r="G11" s="157"/>
      <c r="H11" s="119"/>
      <c r="I11" s="158"/>
      <c r="J11" s="1"/>
      <c r="K11" s="1"/>
      <c r="N11" s="244"/>
      <c r="O11" s="114"/>
      <c r="P11" s="114"/>
      <c r="Q11" s="114"/>
      <c r="R11" s="114"/>
      <c r="S11" s="114"/>
      <c r="T11" s="114"/>
      <c r="U11" s="114"/>
      <c r="V11" s="114"/>
      <c r="W11" s="1"/>
      <c r="X11" s="1"/>
    </row>
    <row r="12" spans="2:24" ht="15" customHeight="1">
      <c r="B12" s="66" t="s">
        <v>28</v>
      </c>
      <c r="C12" s="67"/>
      <c r="D12" s="159" t="s">
        <v>139</v>
      </c>
      <c r="E12" s="157">
        <v>120</v>
      </c>
      <c r="F12" s="157">
        <v>120</v>
      </c>
      <c r="G12" s="157" t="s">
        <v>139</v>
      </c>
      <c r="H12" s="119" t="s">
        <v>139</v>
      </c>
      <c r="I12" s="158" t="s">
        <v>139</v>
      </c>
      <c r="J12" s="1"/>
      <c r="K12" s="1"/>
      <c r="N12" s="244"/>
      <c r="O12" s="114"/>
      <c r="P12" s="114"/>
      <c r="Q12" s="114"/>
      <c r="R12" s="114"/>
      <c r="S12" s="114"/>
      <c r="T12" s="114"/>
      <c r="U12" s="114"/>
      <c r="V12" s="114"/>
      <c r="W12" s="1"/>
      <c r="X12" s="1"/>
    </row>
    <row r="13" spans="2:24" ht="15" customHeight="1">
      <c r="B13" s="66" t="s">
        <v>29</v>
      </c>
      <c r="C13" s="67"/>
      <c r="D13" s="159" t="s">
        <v>139</v>
      </c>
      <c r="E13" s="157">
        <v>79</v>
      </c>
      <c r="F13" s="157">
        <v>80</v>
      </c>
      <c r="G13" s="157" t="s">
        <v>139</v>
      </c>
      <c r="H13" s="119" t="s">
        <v>139</v>
      </c>
      <c r="I13" s="158" t="s">
        <v>139</v>
      </c>
      <c r="J13" s="1"/>
      <c r="K13" s="1"/>
      <c r="N13" s="244"/>
      <c r="O13" s="114"/>
      <c r="P13" s="114"/>
      <c r="Q13" s="114"/>
      <c r="R13" s="114"/>
      <c r="S13" s="114"/>
      <c r="T13" s="114"/>
      <c r="U13" s="114"/>
      <c r="V13" s="114"/>
      <c r="W13" s="1"/>
      <c r="X13" s="1"/>
    </row>
    <row r="14" spans="2:24" ht="15" customHeight="1">
      <c r="B14" s="66" t="s">
        <v>30</v>
      </c>
      <c r="C14" s="67"/>
      <c r="D14" s="159" t="s">
        <v>125</v>
      </c>
      <c r="E14" s="157" t="s">
        <v>125</v>
      </c>
      <c r="F14" s="157" t="s">
        <v>125</v>
      </c>
      <c r="G14" s="157">
        <v>426</v>
      </c>
      <c r="H14" s="119">
        <v>353</v>
      </c>
      <c r="I14" s="158">
        <v>361</v>
      </c>
      <c r="J14" s="1"/>
      <c r="K14" s="1"/>
      <c r="N14" s="244"/>
      <c r="O14" s="114"/>
      <c r="P14" s="114"/>
      <c r="Q14" s="114"/>
      <c r="R14" s="114"/>
      <c r="S14" s="114"/>
      <c r="T14" s="114"/>
      <c r="U14" s="114"/>
      <c r="V14" s="114"/>
      <c r="W14" s="1"/>
      <c r="X14" s="1"/>
    </row>
    <row r="15" spans="2:24" ht="15" customHeight="1">
      <c r="B15" s="66" t="s">
        <v>31</v>
      </c>
      <c r="C15" s="67"/>
      <c r="D15" s="159" t="s">
        <v>125</v>
      </c>
      <c r="E15" s="157">
        <v>415</v>
      </c>
      <c r="F15" s="157">
        <v>427</v>
      </c>
      <c r="G15" s="157"/>
      <c r="H15" s="119" t="s">
        <v>125</v>
      </c>
      <c r="I15" s="158" t="s">
        <v>138</v>
      </c>
      <c r="J15" s="1"/>
      <c r="K15" s="1"/>
      <c r="N15" s="244"/>
      <c r="O15" s="114"/>
      <c r="P15" s="114"/>
      <c r="Q15" s="114"/>
      <c r="R15" s="114"/>
      <c r="S15" s="114"/>
      <c r="T15" s="114"/>
      <c r="U15" s="114"/>
      <c r="V15" s="114"/>
      <c r="W15" s="1"/>
      <c r="X15" s="1"/>
    </row>
    <row r="16" spans="2:24" ht="15" customHeight="1">
      <c r="B16" s="66" t="s">
        <v>32</v>
      </c>
      <c r="C16" s="67"/>
      <c r="D16" s="159" t="s">
        <v>139</v>
      </c>
      <c r="E16" s="157"/>
      <c r="F16" s="157"/>
      <c r="G16" s="157"/>
      <c r="H16" s="119" t="s">
        <v>125</v>
      </c>
      <c r="I16" s="158" t="s">
        <v>138</v>
      </c>
      <c r="J16" s="1"/>
      <c r="K16" s="1"/>
      <c r="N16" s="244"/>
      <c r="O16" s="114"/>
      <c r="P16" s="114"/>
      <c r="Q16" s="114"/>
      <c r="R16" s="114"/>
      <c r="S16" s="114"/>
      <c r="T16" s="114"/>
      <c r="U16" s="114"/>
      <c r="V16" s="114"/>
      <c r="W16" s="1"/>
      <c r="X16" s="1"/>
    </row>
    <row r="17" spans="2:30" ht="15" customHeight="1">
      <c r="B17" s="66"/>
      <c r="C17" s="67"/>
      <c r="D17" s="159"/>
      <c r="E17" s="157"/>
      <c r="F17" s="157"/>
      <c r="G17" s="157"/>
      <c r="H17" s="119"/>
      <c r="I17" s="158"/>
      <c r="J17" s="1"/>
      <c r="K17" s="1"/>
      <c r="N17" s="244"/>
      <c r="O17" s="114"/>
      <c r="P17" s="114"/>
      <c r="Q17" s="114"/>
      <c r="R17" s="114"/>
      <c r="S17" s="114"/>
      <c r="T17" s="114"/>
      <c r="U17" s="114"/>
      <c r="V17" s="114"/>
      <c r="W17" s="1"/>
      <c r="X17" s="1"/>
    </row>
    <row r="18" spans="2:30" ht="15" customHeight="1">
      <c r="B18" s="66" t="s">
        <v>33</v>
      </c>
      <c r="C18" s="67"/>
      <c r="D18" s="159" t="s">
        <v>139</v>
      </c>
      <c r="E18" s="157">
        <v>128</v>
      </c>
      <c r="F18" s="157">
        <v>130</v>
      </c>
      <c r="G18" s="157">
        <v>149</v>
      </c>
      <c r="H18" s="119">
        <v>150</v>
      </c>
      <c r="I18" s="158">
        <v>173</v>
      </c>
      <c r="J18" s="1"/>
      <c r="K18" s="1"/>
      <c r="N18" s="244"/>
      <c r="O18" s="114"/>
      <c r="P18" s="114"/>
      <c r="Q18" s="114"/>
      <c r="R18" s="114"/>
      <c r="S18" s="114"/>
      <c r="T18" s="114"/>
      <c r="U18" s="114"/>
      <c r="V18" s="114"/>
      <c r="W18" s="1"/>
      <c r="X18" s="1"/>
    </row>
    <row r="19" spans="2:30" ht="15" customHeight="1">
      <c r="B19" s="66" t="s">
        <v>34</v>
      </c>
      <c r="C19" s="67"/>
      <c r="D19" s="159" t="s">
        <v>139</v>
      </c>
      <c r="E19" s="157"/>
      <c r="F19" s="157"/>
      <c r="G19" s="157"/>
      <c r="H19" s="119" t="s">
        <v>125</v>
      </c>
      <c r="I19" s="158" t="s">
        <v>139</v>
      </c>
      <c r="J19" s="1"/>
      <c r="K19" s="1"/>
      <c r="N19" s="244"/>
      <c r="O19" s="114"/>
      <c r="P19" s="114"/>
      <c r="Q19" s="114"/>
      <c r="R19" s="114"/>
      <c r="S19" s="114"/>
      <c r="T19" s="114"/>
      <c r="U19" s="114"/>
      <c r="V19" s="114"/>
      <c r="W19" s="1"/>
      <c r="X19" s="1"/>
    </row>
    <row r="20" spans="2:30" ht="15" customHeight="1">
      <c r="B20" s="66" t="s">
        <v>35</v>
      </c>
      <c r="C20" s="67"/>
      <c r="D20" s="159" t="s">
        <v>139</v>
      </c>
      <c r="E20" s="157">
        <v>68</v>
      </c>
      <c r="F20" s="157">
        <v>41</v>
      </c>
      <c r="G20" s="157"/>
      <c r="H20" s="119">
        <v>234</v>
      </c>
      <c r="I20" s="158" t="s">
        <v>133</v>
      </c>
      <c r="J20" s="1"/>
      <c r="K20" s="1"/>
      <c r="N20" s="244"/>
      <c r="O20" s="114"/>
      <c r="P20" s="114"/>
      <c r="Q20" s="114"/>
      <c r="R20" s="114"/>
      <c r="S20" s="114"/>
      <c r="T20" s="114"/>
      <c r="U20" s="114"/>
      <c r="V20" s="114"/>
      <c r="W20" s="1"/>
      <c r="X20" s="1"/>
    </row>
    <row r="21" spans="2:30" ht="15" customHeight="1">
      <c r="B21" s="66" t="s">
        <v>36</v>
      </c>
      <c r="C21" s="67"/>
      <c r="D21" s="159" t="s">
        <v>139</v>
      </c>
      <c r="E21" s="157">
        <v>100</v>
      </c>
      <c r="F21" s="157">
        <v>90</v>
      </c>
      <c r="G21" s="157" t="s">
        <v>139</v>
      </c>
      <c r="H21" s="119" t="s">
        <v>125</v>
      </c>
      <c r="I21" s="158" t="s">
        <v>139</v>
      </c>
      <c r="J21" s="1"/>
      <c r="K21" s="1"/>
      <c r="N21" s="244"/>
      <c r="O21" s="114"/>
      <c r="P21" s="114"/>
      <c r="Q21" s="114"/>
      <c r="R21" s="114"/>
      <c r="S21" s="114"/>
      <c r="T21" s="114"/>
      <c r="U21" s="114"/>
      <c r="V21" s="114"/>
      <c r="W21" s="1"/>
      <c r="X21" s="1"/>
    </row>
    <row r="22" spans="2:30" ht="15" customHeight="1">
      <c r="B22" s="66" t="s">
        <v>37</v>
      </c>
      <c r="C22" s="67"/>
      <c r="D22" s="159" t="s">
        <v>139</v>
      </c>
      <c r="E22" s="157">
        <v>104</v>
      </c>
      <c r="F22" s="157">
        <v>163</v>
      </c>
      <c r="G22" s="157">
        <v>204</v>
      </c>
      <c r="H22" s="119" t="s">
        <v>125</v>
      </c>
      <c r="I22" s="158">
        <v>289</v>
      </c>
      <c r="J22" s="1"/>
      <c r="K22" s="1"/>
      <c r="N22" s="244"/>
      <c r="O22" s="114"/>
      <c r="P22" s="114"/>
      <c r="Q22" s="114"/>
      <c r="R22" s="114"/>
      <c r="S22" s="114"/>
      <c r="T22" s="114"/>
      <c r="U22" s="114"/>
      <c r="V22" s="114"/>
      <c r="W22" s="1"/>
      <c r="X22" s="1"/>
    </row>
    <row r="23" spans="2:30" ht="15" customHeight="1">
      <c r="B23" s="66"/>
      <c r="C23" s="67"/>
      <c r="D23" s="159"/>
      <c r="E23" s="157"/>
      <c r="F23" s="157"/>
      <c r="G23" s="157"/>
      <c r="H23" s="119"/>
      <c r="I23" s="158"/>
      <c r="J23" s="1"/>
      <c r="K23" s="1"/>
      <c r="N23" s="244"/>
      <c r="O23" s="114"/>
      <c r="P23" s="114"/>
      <c r="Q23" s="114"/>
      <c r="R23" s="114"/>
      <c r="S23" s="114"/>
      <c r="T23" s="114"/>
      <c r="U23" s="114"/>
      <c r="V23" s="114"/>
      <c r="W23" s="1"/>
      <c r="X23" s="1"/>
    </row>
    <row r="24" spans="2:30" ht="15" customHeight="1">
      <c r="B24" s="66" t="s">
        <v>38</v>
      </c>
      <c r="C24" s="67"/>
      <c r="D24" s="159">
        <v>7720</v>
      </c>
      <c r="E24" s="157">
        <v>7879</v>
      </c>
      <c r="F24" s="157">
        <v>6898</v>
      </c>
      <c r="G24" s="157">
        <v>7331</v>
      </c>
      <c r="H24" s="119">
        <v>9070</v>
      </c>
      <c r="I24" s="158">
        <v>11199</v>
      </c>
      <c r="J24" s="1"/>
      <c r="K24" s="1"/>
      <c r="N24" s="244"/>
      <c r="O24" s="114"/>
      <c r="P24" s="114"/>
      <c r="Q24" s="114"/>
      <c r="R24" s="114"/>
      <c r="S24" s="114"/>
      <c r="T24" s="114"/>
      <c r="U24" s="114"/>
      <c r="V24" s="114"/>
      <c r="W24" s="1"/>
      <c r="X24" s="1"/>
    </row>
    <row r="25" spans="2:30" ht="15" customHeight="1">
      <c r="B25" s="66" t="s">
        <v>39</v>
      </c>
      <c r="C25" s="67"/>
      <c r="D25" s="159">
        <v>2319</v>
      </c>
      <c r="E25" s="157">
        <v>3638</v>
      </c>
      <c r="F25" s="157">
        <v>3189</v>
      </c>
      <c r="G25" s="157">
        <v>2347</v>
      </c>
      <c r="H25" s="119">
        <v>2673</v>
      </c>
      <c r="I25" s="158">
        <v>2187</v>
      </c>
      <c r="J25" s="1"/>
      <c r="K25" s="1"/>
      <c r="N25" s="244"/>
      <c r="O25" s="114"/>
      <c r="P25" s="114"/>
      <c r="Q25" s="114"/>
      <c r="R25" s="114"/>
      <c r="S25" s="114"/>
      <c r="T25" s="114"/>
      <c r="U25" s="114"/>
      <c r="V25" s="114"/>
      <c r="W25" s="1"/>
      <c r="X25" s="1"/>
    </row>
    <row r="26" spans="2:30" ht="15" customHeight="1">
      <c r="B26" s="66" t="s">
        <v>40</v>
      </c>
      <c r="C26" s="67"/>
      <c r="D26" s="159"/>
      <c r="E26" s="157">
        <v>152</v>
      </c>
      <c r="F26" s="157"/>
      <c r="G26" s="157"/>
      <c r="H26" s="119" t="s">
        <v>139</v>
      </c>
      <c r="I26" s="158" t="s">
        <v>138</v>
      </c>
      <c r="J26" s="1"/>
      <c r="K26" s="1"/>
      <c r="N26" s="244"/>
      <c r="O26" s="114"/>
      <c r="P26" s="114"/>
      <c r="Q26" s="114"/>
      <c r="R26" s="114"/>
      <c r="S26" s="114"/>
      <c r="T26" s="114"/>
      <c r="U26" s="114"/>
      <c r="V26" s="114"/>
      <c r="W26" s="1"/>
      <c r="X26" s="1"/>
    </row>
    <row r="27" spans="2:30" ht="15" customHeight="1">
      <c r="B27" s="66" t="s">
        <v>41</v>
      </c>
      <c r="C27" s="67"/>
      <c r="D27" s="159">
        <v>218</v>
      </c>
      <c r="E27" s="157">
        <v>699</v>
      </c>
      <c r="F27" s="157">
        <v>781</v>
      </c>
      <c r="G27" s="157">
        <v>679</v>
      </c>
      <c r="H27" s="119">
        <v>731</v>
      </c>
      <c r="I27" s="158">
        <v>1396</v>
      </c>
      <c r="J27" s="1"/>
      <c r="K27" s="1"/>
      <c r="N27" s="244"/>
      <c r="O27" s="114"/>
      <c r="P27" s="114"/>
      <c r="Q27" s="114"/>
      <c r="R27" s="114"/>
      <c r="S27" s="114"/>
      <c r="T27" s="114"/>
      <c r="U27" s="114"/>
      <c r="V27" s="114"/>
      <c r="W27" s="1"/>
      <c r="X27" s="1"/>
    </row>
    <row r="28" spans="2:30" ht="15" customHeight="1">
      <c r="B28" s="66" t="s">
        <v>42</v>
      </c>
      <c r="C28" s="67"/>
      <c r="D28" s="159" t="s">
        <v>125</v>
      </c>
      <c r="E28" s="157" t="s">
        <v>125</v>
      </c>
      <c r="F28" s="157" t="s">
        <v>141</v>
      </c>
      <c r="G28" s="157"/>
      <c r="H28" s="119" t="s">
        <v>125</v>
      </c>
      <c r="I28" s="158" t="s">
        <v>133</v>
      </c>
      <c r="J28" s="1"/>
      <c r="K28" s="1"/>
      <c r="N28" s="244"/>
      <c r="O28" s="114"/>
      <c r="P28" s="114"/>
      <c r="Q28" s="114"/>
      <c r="R28" s="114"/>
      <c r="S28" s="114"/>
      <c r="T28" s="114"/>
      <c r="U28" s="114"/>
      <c r="V28" s="114"/>
      <c r="W28" s="1"/>
      <c r="X28" s="1"/>
    </row>
    <row r="29" spans="2:30" ht="15" customHeight="1">
      <c r="B29" s="66"/>
      <c r="C29" s="67"/>
      <c r="D29" s="159"/>
      <c r="E29" s="157"/>
      <c r="F29" s="157"/>
      <c r="G29" s="157"/>
      <c r="H29" s="119"/>
      <c r="I29" s="158"/>
      <c r="J29" s="1"/>
      <c r="K29" s="1"/>
      <c r="N29" s="244"/>
      <c r="O29" s="114"/>
      <c r="P29" s="114"/>
      <c r="Q29" s="114"/>
      <c r="R29" s="114"/>
      <c r="S29" s="114"/>
      <c r="T29" s="114"/>
      <c r="U29" s="114"/>
      <c r="V29" s="114"/>
      <c r="W29" s="1"/>
      <c r="X29" s="1"/>
    </row>
    <row r="30" spans="2:30" ht="15" customHeight="1">
      <c r="B30" s="68" t="s">
        <v>43</v>
      </c>
      <c r="C30" s="69"/>
      <c r="D30" s="160">
        <v>272</v>
      </c>
      <c r="E30" s="161">
        <v>325</v>
      </c>
      <c r="F30" s="161">
        <v>42</v>
      </c>
      <c r="G30" s="161">
        <v>55</v>
      </c>
      <c r="H30" s="164">
        <v>52</v>
      </c>
      <c r="I30" s="170">
        <v>56</v>
      </c>
      <c r="J30" s="1"/>
      <c r="K30" s="1"/>
      <c r="N30" s="244"/>
      <c r="O30" s="114"/>
      <c r="P30" s="114"/>
      <c r="Q30" s="114"/>
      <c r="R30" s="114"/>
      <c r="S30" s="114"/>
      <c r="T30" s="114"/>
      <c r="U30" s="114"/>
      <c r="V30" s="114"/>
      <c r="W30" s="1"/>
      <c r="X30" s="1"/>
    </row>
    <row r="31" spans="2:30" ht="15" customHeight="1">
      <c r="I31" s="71" t="s">
        <v>76</v>
      </c>
      <c r="N31" s="33"/>
      <c r="O31" s="30"/>
      <c r="P31" s="30"/>
      <c r="Q31" s="30"/>
      <c r="R31" s="30"/>
      <c r="S31" s="30"/>
      <c r="T31" s="30"/>
      <c r="U31" s="30"/>
      <c r="V31" s="114"/>
      <c r="AD31" s="179"/>
    </row>
    <row r="32" spans="2:30" ht="15" customHeight="1">
      <c r="AD32" s="179"/>
    </row>
    <row r="33" spans="2:31" ht="14.25" customHeight="1">
      <c r="K33" s="71" t="s">
        <v>46</v>
      </c>
      <c r="X33" s="71" t="s">
        <v>46</v>
      </c>
    </row>
    <row r="34" spans="2:31" ht="14.25" customHeight="1">
      <c r="B34" s="652" t="s">
        <v>45</v>
      </c>
      <c r="C34" s="710"/>
      <c r="D34" s="72" t="s">
        <v>65</v>
      </c>
      <c r="E34" s="73"/>
      <c r="F34" s="74" t="s">
        <v>66</v>
      </c>
      <c r="G34" s="115"/>
      <c r="H34" s="74" t="s">
        <v>67</v>
      </c>
      <c r="I34" s="73"/>
      <c r="J34" s="74" t="s">
        <v>68</v>
      </c>
      <c r="K34" s="75"/>
      <c r="N34" s="664" t="s">
        <v>45</v>
      </c>
      <c r="O34" s="115" t="s">
        <v>327</v>
      </c>
      <c r="P34" s="73"/>
      <c r="Q34" s="74" t="s">
        <v>300</v>
      </c>
      <c r="R34" s="115"/>
      <c r="S34" s="116" t="s">
        <v>203</v>
      </c>
      <c r="T34" s="73"/>
      <c r="U34" s="74" t="s">
        <v>332</v>
      </c>
      <c r="V34" s="115"/>
      <c r="W34" s="74" t="s">
        <v>301</v>
      </c>
      <c r="X34" s="75"/>
      <c r="AB34" s="85" t="s">
        <v>482</v>
      </c>
      <c r="AC34" s="85"/>
    </row>
    <row r="35" spans="2:31" ht="14.25" customHeight="1">
      <c r="B35" s="708"/>
      <c r="C35" s="711"/>
      <c r="D35" s="76" t="s">
        <v>44</v>
      </c>
      <c r="E35" s="77" t="s">
        <v>20</v>
      </c>
      <c r="F35" s="77" t="s">
        <v>44</v>
      </c>
      <c r="G35" s="329" t="s">
        <v>20</v>
      </c>
      <c r="H35" s="77" t="s">
        <v>44</v>
      </c>
      <c r="I35" s="77" t="s">
        <v>20</v>
      </c>
      <c r="J35" s="77" t="s">
        <v>44</v>
      </c>
      <c r="K35" s="78" t="s">
        <v>20</v>
      </c>
      <c r="N35" s="668"/>
      <c r="O35" s="701" t="s">
        <v>44</v>
      </c>
      <c r="P35" s="340" t="s">
        <v>358</v>
      </c>
      <c r="Q35" s="703" t="s">
        <v>44</v>
      </c>
      <c r="R35" s="338" t="s">
        <v>358</v>
      </c>
      <c r="S35" s="701" t="s">
        <v>44</v>
      </c>
      <c r="T35" s="338" t="s">
        <v>358</v>
      </c>
      <c r="U35" s="701" t="s">
        <v>44</v>
      </c>
      <c r="V35" s="338" t="s">
        <v>358</v>
      </c>
      <c r="W35" s="701" t="s">
        <v>44</v>
      </c>
      <c r="X35" s="342" t="s">
        <v>358</v>
      </c>
      <c r="AA35" s="180" t="s">
        <v>164</v>
      </c>
      <c r="AB35" s="180"/>
      <c r="AC35" s="180"/>
    </row>
    <row r="36" spans="2:31" ht="14.25" customHeight="1">
      <c r="B36" s="8" t="s">
        <v>22</v>
      </c>
      <c r="C36" s="9"/>
      <c r="D36" s="162">
        <v>24064</v>
      </c>
      <c r="E36" s="39">
        <f>ROUND(D36/$AB$36,0)</f>
        <v>22944</v>
      </c>
      <c r="F36" s="163">
        <v>22662</v>
      </c>
      <c r="G36" s="130">
        <f>ROUND(F36/$AB$37,0)</f>
        <v>21386</v>
      </c>
      <c r="H36" s="350">
        <v>20026</v>
      </c>
      <c r="I36" s="130">
        <f>ROUND(H36/$AB$38,0)</f>
        <v>19065</v>
      </c>
      <c r="J36" s="350">
        <v>22320</v>
      </c>
      <c r="K36" s="87">
        <f>ROUND(J36/$AB$39,0)</f>
        <v>21588</v>
      </c>
      <c r="N36" s="669"/>
      <c r="O36" s="702"/>
      <c r="P36" s="341" t="s">
        <v>359</v>
      </c>
      <c r="Q36" s="704"/>
      <c r="R36" s="339" t="s">
        <v>359</v>
      </c>
      <c r="S36" s="702"/>
      <c r="T36" s="339" t="s">
        <v>359</v>
      </c>
      <c r="U36" s="702"/>
      <c r="V36" s="339" t="s">
        <v>359</v>
      </c>
      <c r="W36" s="702"/>
      <c r="X36" s="343" t="s">
        <v>359</v>
      </c>
      <c r="AA36" s="181" t="s">
        <v>483</v>
      </c>
      <c r="AB36" s="352">
        <f>AC36/100</f>
        <v>1.04883333333333</v>
      </c>
      <c r="AC36" s="353">
        <v>104.883333333333</v>
      </c>
      <c r="AD36" s="476">
        <v>1990</v>
      </c>
      <c r="AE36" s="295"/>
    </row>
    <row r="37" spans="2:31" ht="14.25" customHeight="1">
      <c r="B37" s="66"/>
      <c r="C37" s="35"/>
      <c r="D37" s="159"/>
      <c r="E37" s="39"/>
      <c r="F37" s="157"/>
      <c r="G37" s="39"/>
      <c r="H37" s="157"/>
      <c r="I37" s="39"/>
      <c r="J37" s="157"/>
      <c r="K37" s="82"/>
      <c r="N37" s="8" t="s">
        <v>22</v>
      </c>
      <c r="O37" s="326">
        <v>22619.71</v>
      </c>
      <c r="P37" s="130">
        <f>ROUND(O37/$AB$54,0)</f>
        <v>21980</v>
      </c>
      <c r="Q37" s="350">
        <v>15144.94</v>
      </c>
      <c r="R37" s="130">
        <f>ROUND(Q37/$AB$55,0)</f>
        <v>15532</v>
      </c>
      <c r="S37" s="350">
        <v>19615.330000000002</v>
      </c>
      <c r="T37" s="130">
        <f>ROUND(S37/$AB$56,0)</f>
        <v>20137</v>
      </c>
      <c r="U37" s="350">
        <v>17728.68</v>
      </c>
      <c r="V37" s="130">
        <f>ROUND(U37/$AB$57,0)</f>
        <v>17944</v>
      </c>
      <c r="W37" s="350">
        <v>18084.68</v>
      </c>
      <c r="X37" s="87">
        <f>ROUND(W37/$AB$58,0)</f>
        <v>18463</v>
      </c>
      <c r="AA37" s="181" t="s">
        <v>484</v>
      </c>
      <c r="AB37" s="352">
        <f t="shared" ref="AB37:AB63" si="0">AC37/100</f>
        <v>1.0596666666666699</v>
      </c>
      <c r="AC37" s="353">
        <v>105.966666666667</v>
      </c>
      <c r="AD37" s="476">
        <v>1991</v>
      </c>
      <c r="AE37" s="295"/>
    </row>
    <row r="38" spans="2:31" ht="14.25" customHeight="1">
      <c r="B38" s="66" t="s">
        <v>23</v>
      </c>
      <c r="C38" s="35"/>
      <c r="D38" s="159">
        <v>3013</v>
      </c>
      <c r="E38" s="39">
        <f>ROUND(D38/$AB$36,0)</f>
        <v>2873</v>
      </c>
      <c r="F38" s="157">
        <v>3744</v>
      </c>
      <c r="G38" s="39">
        <f>ROUND(F38/$AB$37,0)</f>
        <v>3533</v>
      </c>
      <c r="H38" s="157">
        <v>3948</v>
      </c>
      <c r="I38" s="39">
        <f>ROUND(H38/$AB$38,0)</f>
        <v>3759</v>
      </c>
      <c r="J38" s="157">
        <v>4346</v>
      </c>
      <c r="K38" s="82">
        <f>ROUND(J38/$AB$39,0)</f>
        <v>4203</v>
      </c>
      <c r="N38" s="66"/>
      <c r="O38" s="331"/>
      <c r="P38" s="188"/>
      <c r="Q38" s="188"/>
      <c r="R38" s="188"/>
      <c r="S38" s="188"/>
      <c r="T38" s="188"/>
      <c r="U38" s="188"/>
      <c r="V38" s="188"/>
      <c r="W38" s="188"/>
      <c r="X38" s="349"/>
      <c r="AA38" s="181" t="s">
        <v>485</v>
      </c>
      <c r="AB38" s="352">
        <f t="shared" si="0"/>
        <v>1.0504166666666699</v>
      </c>
      <c r="AC38" s="353">
        <v>105.041666666667</v>
      </c>
      <c r="AD38" s="476">
        <v>1992</v>
      </c>
      <c r="AE38" s="295"/>
    </row>
    <row r="39" spans="2:31" ht="14.25" customHeight="1">
      <c r="B39" s="66" t="s">
        <v>24</v>
      </c>
      <c r="C39" s="35"/>
      <c r="D39" s="159">
        <v>35</v>
      </c>
      <c r="E39" s="39">
        <f>ROUND(D39/$AB$36,0)</f>
        <v>33</v>
      </c>
      <c r="F39" s="157">
        <v>35</v>
      </c>
      <c r="G39" s="39">
        <f>ROUND(F39/$AB$37,0)</f>
        <v>33</v>
      </c>
      <c r="H39" s="157">
        <v>36</v>
      </c>
      <c r="I39" s="39">
        <f>ROUND(H39/$AB$38,0)</f>
        <v>34</v>
      </c>
      <c r="J39" s="157" t="s">
        <v>139</v>
      </c>
      <c r="K39" s="172" t="s">
        <v>139</v>
      </c>
      <c r="N39" s="66" t="s">
        <v>337</v>
      </c>
      <c r="O39" s="159">
        <v>3808.22</v>
      </c>
      <c r="P39" s="39">
        <f>ROUND(O39/$AB$54,0)</f>
        <v>3701</v>
      </c>
      <c r="Q39" s="157">
        <v>2838.79</v>
      </c>
      <c r="R39" s="39">
        <f t="shared" ref="R39:R40" si="1">ROUND(Q39/$AB$55,0)</f>
        <v>2911</v>
      </c>
      <c r="S39" s="157">
        <v>2513.48</v>
      </c>
      <c r="T39" s="39">
        <f>ROUND(S39/$AB$56,0)</f>
        <v>2580</v>
      </c>
      <c r="U39" s="157">
        <v>2248.89</v>
      </c>
      <c r="V39" s="39">
        <f>ROUND(U39/$AB$57,0)</f>
        <v>2276</v>
      </c>
      <c r="W39" s="157">
        <v>1700.55</v>
      </c>
      <c r="X39" s="82">
        <f>ROUND(W39/$AB$58,0)</f>
        <v>1736</v>
      </c>
      <c r="AA39" s="181" t="s">
        <v>486</v>
      </c>
      <c r="AB39" s="352">
        <f t="shared" si="0"/>
        <v>1.0339166666666701</v>
      </c>
      <c r="AC39" s="353">
        <v>103.39166666666701</v>
      </c>
      <c r="AD39" s="476">
        <v>1993</v>
      </c>
      <c r="AE39" s="295"/>
    </row>
    <row r="40" spans="2:31" ht="14.25" customHeight="1">
      <c r="B40" s="66" t="s">
        <v>25</v>
      </c>
      <c r="C40" s="35"/>
      <c r="D40" s="159" t="s">
        <v>139</v>
      </c>
      <c r="E40" s="157" t="s">
        <v>139</v>
      </c>
      <c r="F40" s="157" t="s">
        <v>139</v>
      </c>
      <c r="G40" s="157" t="s">
        <v>139</v>
      </c>
      <c r="H40" s="157" t="s">
        <v>139</v>
      </c>
      <c r="I40" s="157" t="s">
        <v>139</v>
      </c>
      <c r="J40" s="157" t="s">
        <v>139</v>
      </c>
      <c r="K40" s="172" t="s">
        <v>139</v>
      </c>
      <c r="N40" s="66" t="s">
        <v>338</v>
      </c>
      <c r="O40" s="159">
        <v>461.45</v>
      </c>
      <c r="P40" s="39">
        <f>ROUND(O40/$AB$54,0)</f>
        <v>448</v>
      </c>
      <c r="Q40" s="157">
        <v>681.6</v>
      </c>
      <c r="R40" s="39">
        <f t="shared" si="1"/>
        <v>699</v>
      </c>
      <c r="S40" s="157">
        <v>733.01</v>
      </c>
      <c r="T40" s="39">
        <f>ROUND(S40/$AB$56,0)</f>
        <v>753</v>
      </c>
      <c r="U40" s="157">
        <v>839.86</v>
      </c>
      <c r="V40" s="39">
        <f>ROUND(U40/$AB$57,0)</f>
        <v>850</v>
      </c>
      <c r="W40" s="157" t="s">
        <v>139</v>
      </c>
      <c r="X40" s="172" t="s">
        <v>354</v>
      </c>
      <c r="AA40" s="181" t="s">
        <v>487</v>
      </c>
      <c r="AB40" s="352">
        <f t="shared" si="0"/>
        <v>1.0170000000000001</v>
      </c>
      <c r="AC40" s="353">
        <v>101.7</v>
      </c>
      <c r="AD40" s="476">
        <v>1994</v>
      </c>
      <c r="AE40" s="295"/>
    </row>
    <row r="41" spans="2:31" ht="14.25" customHeight="1">
      <c r="B41" s="66" t="s">
        <v>416</v>
      </c>
      <c r="C41" s="35"/>
      <c r="D41" s="159">
        <v>147</v>
      </c>
      <c r="E41" s="39">
        <f>ROUND(D41/$AB$36,0)</f>
        <v>140</v>
      </c>
      <c r="F41" s="157" t="s">
        <v>139</v>
      </c>
      <c r="G41" s="157" t="s">
        <v>139</v>
      </c>
      <c r="H41" s="157" t="s">
        <v>139</v>
      </c>
      <c r="I41" s="157" t="s">
        <v>139</v>
      </c>
      <c r="J41" s="157" t="s">
        <v>139</v>
      </c>
      <c r="K41" s="172" t="s">
        <v>139</v>
      </c>
      <c r="N41" s="66" t="s">
        <v>339</v>
      </c>
      <c r="O41" s="159" t="s">
        <v>139</v>
      </c>
      <c r="P41" s="157" t="s">
        <v>354</v>
      </c>
      <c r="Q41" s="157" t="s">
        <v>354</v>
      </c>
      <c r="R41" s="157" t="s">
        <v>354</v>
      </c>
      <c r="S41" s="157" t="s">
        <v>139</v>
      </c>
      <c r="T41" s="157" t="s">
        <v>354</v>
      </c>
      <c r="U41" s="157" t="s">
        <v>139</v>
      </c>
      <c r="V41" s="157" t="s">
        <v>354</v>
      </c>
      <c r="W41" s="157" t="s">
        <v>139</v>
      </c>
      <c r="X41" s="172" t="s">
        <v>354</v>
      </c>
      <c r="AA41" s="181" t="s">
        <v>488</v>
      </c>
      <c r="AB41" s="352">
        <f t="shared" si="0"/>
        <v>1.0084166666666698</v>
      </c>
      <c r="AC41" s="353">
        <v>100.841666666667</v>
      </c>
      <c r="AD41" s="476">
        <v>1995</v>
      </c>
      <c r="AE41" s="295"/>
    </row>
    <row r="42" spans="2:31" ht="14.25" customHeight="1">
      <c r="B42" s="66" t="s">
        <v>417</v>
      </c>
      <c r="C42" s="35"/>
      <c r="D42" s="159" t="s">
        <v>139</v>
      </c>
      <c r="E42" s="157" t="s">
        <v>139</v>
      </c>
      <c r="F42" s="157" t="s">
        <v>139</v>
      </c>
      <c r="G42" s="157" t="s">
        <v>139</v>
      </c>
      <c r="H42" s="157" t="s">
        <v>139</v>
      </c>
      <c r="I42" s="157" t="s">
        <v>139</v>
      </c>
      <c r="J42" s="157" t="s">
        <v>139</v>
      </c>
      <c r="K42" s="172" t="s">
        <v>139</v>
      </c>
      <c r="N42" s="66" t="s">
        <v>340</v>
      </c>
      <c r="O42" s="159" t="s">
        <v>139</v>
      </c>
      <c r="P42" s="157" t="s">
        <v>354</v>
      </c>
      <c r="Q42" s="157">
        <v>1999.67</v>
      </c>
      <c r="R42" s="39">
        <f>ROUND(Q42/$AB$55,0)</f>
        <v>2051</v>
      </c>
      <c r="S42" s="157" t="s">
        <v>139</v>
      </c>
      <c r="T42" s="157" t="s">
        <v>354</v>
      </c>
      <c r="U42" s="157">
        <v>1953.73</v>
      </c>
      <c r="V42" s="39">
        <f>ROUND(U42/$AB$57,0)</f>
        <v>1977</v>
      </c>
      <c r="W42" s="157">
        <v>1951.75</v>
      </c>
      <c r="X42" s="82">
        <f>ROUND(W42/$AB$58,0)</f>
        <v>1993</v>
      </c>
      <c r="AA42" s="181" t="s">
        <v>489</v>
      </c>
      <c r="AB42" s="352">
        <f t="shared" si="0"/>
        <v>0.99150000000000005</v>
      </c>
      <c r="AC42" s="353">
        <v>99.15</v>
      </c>
      <c r="AD42" s="476">
        <v>1996</v>
      </c>
      <c r="AE42" s="295"/>
    </row>
    <row r="43" spans="2:31" ht="14.25" customHeight="1">
      <c r="B43" s="66"/>
      <c r="C43" s="35"/>
      <c r="D43" s="159"/>
      <c r="E43" s="157"/>
      <c r="F43" s="157"/>
      <c r="G43" s="39"/>
      <c r="H43" s="157"/>
      <c r="I43" s="39"/>
      <c r="J43" s="157"/>
      <c r="K43" s="82"/>
      <c r="N43" s="66" t="s">
        <v>341</v>
      </c>
      <c r="O43" s="159" t="s">
        <v>139</v>
      </c>
      <c r="P43" s="157" t="s">
        <v>354</v>
      </c>
      <c r="Q43" s="157" t="s">
        <v>133</v>
      </c>
      <c r="R43" s="157" t="s">
        <v>133</v>
      </c>
      <c r="S43" s="157" t="s">
        <v>133</v>
      </c>
      <c r="T43" s="157" t="s">
        <v>133</v>
      </c>
      <c r="U43" s="157" t="s">
        <v>355</v>
      </c>
      <c r="V43" s="157" t="s">
        <v>133</v>
      </c>
      <c r="W43" s="157" t="s">
        <v>133</v>
      </c>
      <c r="X43" s="172" t="s">
        <v>133</v>
      </c>
      <c r="AA43" s="181" t="s">
        <v>490</v>
      </c>
      <c r="AB43" s="352">
        <f t="shared" si="0"/>
        <v>0.99825000000000008</v>
      </c>
      <c r="AC43" s="353">
        <v>99.825000000000003</v>
      </c>
      <c r="AD43" s="476">
        <v>1997</v>
      </c>
      <c r="AE43" s="295"/>
    </row>
    <row r="44" spans="2:31" ht="14.25" customHeight="1">
      <c r="B44" s="66" t="s">
        <v>418</v>
      </c>
      <c r="C44" s="35"/>
      <c r="D44" s="159" t="s">
        <v>139</v>
      </c>
      <c r="E44" s="157" t="s">
        <v>139</v>
      </c>
      <c r="F44" s="157" t="s">
        <v>139</v>
      </c>
      <c r="G44" s="157" t="s">
        <v>139</v>
      </c>
      <c r="H44" s="157" t="s">
        <v>139</v>
      </c>
      <c r="I44" s="157" t="s">
        <v>139</v>
      </c>
      <c r="J44" s="157" t="s">
        <v>139</v>
      </c>
      <c r="K44" s="172" t="s">
        <v>139</v>
      </c>
      <c r="N44" s="330"/>
      <c r="O44" s="159"/>
      <c r="P44" s="39"/>
      <c r="Q44" s="157"/>
      <c r="R44" s="39"/>
      <c r="S44" s="157"/>
      <c r="T44" s="39"/>
      <c r="U44" s="157"/>
      <c r="V44" s="39"/>
      <c r="W44" s="157"/>
      <c r="X44" s="82"/>
      <c r="AA44" s="181" t="s">
        <v>491</v>
      </c>
      <c r="AB44" s="352">
        <f t="shared" si="0"/>
        <v>0.98275000000000001</v>
      </c>
      <c r="AC44" s="353">
        <v>98.275000000000006</v>
      </c>
      <c r="AD44" s="476">
        <v>1998</v>
      </c>
      <c r="AE44" s="295"/>
    </row>
    <row r="45" spans="2:31" ht="14.25" customHeight="1">
      <c r="B45" s="66" t="s">
        <v>419</v>
      </c>
      <c r="C45" s="35"/>
      <c r="D45" s="159" t="s">
        <v>139</v>
      </c>
      <c r="E45" s="157" t="s">
        <v>139</v>
      </c>
      <c r="F45" s="157" t="s">
        <v>139</v>
      </c>
      <c r="G45" s="157" t="s">
        <v>139</v>
      </c>
      <c r="H45" s="157" t="s">
        <v>139</v>
      </c>
      <c r="I45" s="157" t="s">
        <v>139</v>
      </c>
      <c r="J45" s="157" t="s">
        <v>139</v>
      </c>
      <c r="K45" s="172" t="s">
        <v>139</v>
      </c>
      <c r="N45" s="66" t="s">
        <v>342</v>
      </c>
      <c r="O45" s="159" t="s">
        <v>139</v>
      </c>
      <c r="P45" s="157" t="s">
        <v>354</v>
      </c>
      <c r="Q45" s="157" t="s">
        <v>354</v>
      </c>
      <c r="R45" s="157" t="s">
        <v>354</v>
      </c>
      <c r="S45" s="157" t="s">
        <v>139</v>
      </c>
      <c r="T45" s="157" t="s">
        <v>354</v>
      </c>
      <c r="U45" s="157">
        <v>336.48</v>
      </c>
      <c r="V45" s="39">
        <f>ROUND(U45/$AB$57,0)</f>
        <v>341</v>
      </c>
      <c r="W45" s="157" t="s">
        <v>139</v>
      </c>
      <c r="X45" s="172" t="s">
        <v>354</v>
      </c>
      <c r="AA45" s="181" t="s">
        <v>492</v>
      </c>
      <c r="AB45" s="352">
        <f t="shared" si="0"/>
        <v>0.96924999999999994</v>
      </c>
      <c r="AC45" s="353">
        <v>96.924999999999997</v>
      </c>
      <c r="AD45" s="476">
        <v>1999</v>
      </c>
      <c r="AE45" s="295"/>
    </row>
    <row r="46" spans="2:31" ht="14.25" customHeight="1">
      <c r="B46" s="66" t="s">
        <v>30</v>
      </c>
      <c r="C46" s="35"/>
      <c r="D46" s="159">
        <v>431</v>
      </c>
      <c r="E46" s="39">
        <f>ROUND(D46/$AB$36,0)</f>
        <v>411</v>
      </c>
      <c r="F46" s="157">
        <v>420</v>
      </c>
      <c r="G46" s="39">
        <f>ROUND(F46/$AB$37,0)</f>
        <v>396</v>
      </c>
      <c r="H46" s="157">
        <v>338</v>
      </c>
      <c r="I46" s="39">
        <f>ROUND(H46/$AB$38,0)</f>
        <v>322</v>
      </c>
      <c r="J46" s="157">
        <v>420</v>
      </c>
      <c r="K46" s="82">
        <f>ROUND(J46/$AB$39,0)</f>
        <v>406</v>
      </c>
      <c r="N46" s="66" t="s">
        <v>343</v>
      </c>
      <c r="O46" s="159" t="s">
        <v>139</v>
      </c>
      <c r="P46" s="157" t="s">
        <v>354</v>
      </c>
      <c r="Q46" s="157" t="s">
        <v>354</v>
      </c>
      <c r="R46" s="157" t="s">
        <v>354</v>
      </c>
      <c r="S46" s="157" t="s">
        <v>139</v>
      </c>
      <c r="T46" s="157" t="s">
        <v>354</v>
      </c>
      <c r="U46" s="157" t="s">
        <v>139</v>
      </c>
      <c r="V46" s="157" t="s">
        <v>354</v>
      </c>
      <c r="W46" s="157" t="s">
        <v>139</v>
      </c>
      <c r="X46" s="172" t="s">
        <v>354</v>
      </c>
      <c r="AA46" s="181" t="s">
        <v>493</v>
      </c>
      <c r="AB46" s="352">
        <f t="shared" si="0"/>
        <v>0.96933333333333294</v>
      </c>
      <c r="AC46" s="353">
        <v>96.933333333333294</v>
      </c>
      <c r="AD46" s="476">
        <v>2000</v>
      </c>
      <c r="AE46" s="295"/>
    </row>
    <row r="47" spans="2:31" ht="14.25" customHeight="1">
      <c r="B47" s="66" t="s">
        <v>420</v>
      </c>
      <c r="C47" s="35"/>
      <c r="D47" s="159" t="s">
        <v>360</v>
      </c>
      <c r="E47" s="157" t="s">
        <v>138</v>
      </c>
      <c r="F47" s="157" t="s">
        <v>138</v>
      </c>
      <c r="G47" s="157" t="s">
        <v>133</v>
      </c>
      <c r="H47" s="157" t="s">
        <v>125</v>
      </c>
      <c r="I47" s="157" t="s">
        <v>138</v>
      </c>
      <c r="J47" s="157" t="s">
        <v>138</v>
      </c>
      <c r="K47" s="172" t="s">
        <v>138</v>
      </c>
      <c r="N47" s="66" t="s">
        <v>344</v>
      </c>
      <c r="O47" s="159">
        <v>3284.38</v>
      </c>
      <c r="P47" s="39">
        <f t="shared" ref="P47:P48" si="2">ROUND(O47/$AB$54,0)</f>
        <v>3192</v>
      </c>
      <c r="Q47" s="157">
        <v>2364.63</v>
      </c>
      <c r="R47" s="39">
        <f t="shared" ref="R47:R49" si="3">ROUND(Q47/$AB$55,0)</f>
        <v>2425</v>
      </c>
      <c r="S47" s="157">
        <v>1283.26</v>
      </c>
      <c r="T47" s="39">
        <f>ROUND(S47/$AB$56,0)</f>
        <v>1317</v>
      </c>
      <c r="U47" s="157">
        <v>1342.63</v>
      </c>
      <c r="V47" s="39">
        <f t="shared" ref="V47:V49" si="4">ROUND(U47/$AB$57,0)</f>
        <v>1359</v>
      </c>
      <c r="W47" s="157">
        <v>2358.98</v>
      </c>
      <c r="X47" s="82">
        <f t="shared" ref="X47:X49" si="5">ROUND(W47/$AB$58,0)</f>
        <v>2408</v>
      </c>
      <c r="AA47" s="181" t="s">
        <v>494</v>
      </c>
      <c r="AB47" s="352">
        <f t="shared" si="0"/>
        <v>0.94691666666666707</v>
      </c>
      <c r="AC47" s="353">
        <v>94.691666666666706</v>
      </c>
      <c r="AD47" s="476">
        <v>2001</v>
      </c>
      <c r="AE47" s="295"/>
    </row>
    <row r="48" spans="2:31" ht="14.25" customHeight="1">
      <c r="B48" s="66" t="s">
        <v>32</v>
      </c>
      <c r="C48" s="35"/>
      <c r="D48" s="159" t="s">
        <v>329</v>
      </c>
      <c r="E48" s="157" t="s">
        <v>138</v>
      </c>
      <c r="F48" s="157" t="s">
        <v>138</v>
      </c>
      <c r="G48" s="157" t="s">
        <v>133</v>
      </c>
      <c r="H48" s="157" t="s">
        <v>125</v>
      </c>
      <c r="I48" s="157" t="s">
        <v>133</v>
      </c>
      <c r="J48" s="157" t="s">
        <v>133</v>
      </c>
      <c r="K48" s="172" t="s">
        <v>133</v>
      </c>
      <c r="N48" s="66" t="s">
        <v>345</v>
      </c>
      <c r="O48" s="159">
        <v>6457.26</v>
      </c>
      <c r="P48" s="39">
        <f t="shared" si="2"/>
        <v>6275</v>
      </c>
      <c r="Q48" s="157">
        <v>3421.59</v>
      </c>
      <c r="R48" s="39">
        <f t="shared" si="3"/>
        <v>3509</v>
      </c>
      <c r="S48" s="157">
        <v>5939.9</v>
      </c>
      <c r="T48" s="39">
        <f>ROUND(S48/$AB$56,0)</f>
        <v>6098</v>
      </c>
      <c r="U48" s="157">
        <v>6270.73</v>
      </c>
      <c r="V48" s="39">
        <f t="shared" si="4"/>
        <v>6347</v>
      </c>
      <c r="W48" s="157">
        <v>5869.55</v>
      </c>
      <c r="X48" s="82">
        <f t="shared" si="5"/>
        <v>5992</v>
      </c>
      <c r="AA48" s="181" t="s">
        <v>116</v>
      </c>
      <c r="AB48" s="352">
        <f t="shared" si="0"/>
        <v>0.92758333333333298</v>
      </c>
      <c r="AC48" s="353">
        <v>92.758333333333297</v>
      </c>
      <c r="AD48" s="476">
        <v>2002</v>
      </c>
      <c r="AE48" s="295"/>
    </row>
    <row r="49" spans="2:31" ht="14.25" customHeight="1">
      <c r="B49" s="66"/>
      <c r="C49" s="35"/>
      <c r="D49" s="159"/>
      <c r="E49" s="39"/>
      <c r="F49" s="157"/>
      <c r="G49" s="39"/>
      <c r="H49" s="157"/>
      <c r="I49" s="39"/>
      <c r="J49" s="157"/>
      <c r="K49" s="82"/>
      <c r="N49" s="66" t="s">
        <v>346</v>
      </c>
      <c r="O49" s="159">
        <v>4149.8100000000004</v>
      </c>
      <c r="P49" s="39">
        <f>ROUND(O49/$AB$54,0)</f>
        <v>4033</v>
      </c>
      <c r="Q49" s="157">
        <v>2692.5</v>
      </c>
      <c r="R49" s="39">
        <f t="shared" si="3"/>
        <v>2761</v>
      </c>
      <c r="S49" s="157">
        <v>4952.5</v>
      </c>
      <c r="T49" s="39">
        <f>ROUND(S49/$AB$56,0)</f>
        <v>5084</v>
      </c>
      <c r="U49" s="157">
        <v>1588.53</v>
      </c>
      <c r="V49" s="39">
        <f t="shared" si="4"/>
        <v>1608</v>
      </c>
      <c r="W49" s="157">
        <v>2924.54</v>
      </c>
      <c r="X49" s="82">
        <f t="shared" si="5"/>
        <v>2986</v>
      </c>
      <c r="AA49" s="181" t="s">
        <v>117</v>
      </c>
      <c r="AB49" s="352">
        <f t="shared" si="0"/>
        <v>0.9194166666666671</v>
      </c>
      <c r="AC49" s="353">
        <v>91.941666666666706</v>
      </c>
      <c r="AD49" s="476">
        <v>2003</v>
      </c>
      <c r="AE49" s="295"/>
    </row>
    <row r="50" spans="2:31" ht="14.25" customHeight="1">
      <c r="B50" s="66" t="s">
        <v>421</v>
      </c>
      <c r="C50" s="35"/>
      <c r="D50" s="159">
        <v>173</v>
      </c>
      <c r="E50" s="39">
        <f>ROUND(D50/$AB$36,0)</f>
        <v>165</v>
      </c>
      <c r="F50" s="157">
        <v>175</v>
      </c>
      <c r="G50" s="39">
        <f>ROUND(F50/$AB$37,0)</f>
        <v>165</v>
      </c>
      <c r="H50" s="157">
        <v>165</v>
      </c>
      <c r="I50" s="39">
        <f>ROUND(H50/$AB$38,0)</f>
        <v>157</v>
      </c>
      <c r="J50" s="157" t="s">
        <v>139</v>
      </c>
      <c r="K50" s="172" t="s">
        <v>139</v>
      </c>
      <c r="N50" s="330"/>
      <c r="O50" s="159"/>
      <c r="P50" s="39"/>
      <c r="Q50" s="157"/>
      <c r="R50" s="39"/>
      <c r="S50" s="157"/>
      <c r="T50" s="39"/>
      <c r="U50" s="157"/>
      <c r="V50" s="39"/>
      <c r="W50" s="157"/>
      <c r="X50" s="82"/>
      <c r="AA50" s="181" t="s">
        <v>118</v>
      </c>
      <c r="AB50" s="352">
        <f t="shared" si="0"/>
        <v>0.93141666666666689</v>
      </c>
      <c r="AC50" s="353">
        <v>93.141666666666694</v>
      </c>
      <c r="AD50" s="476">
        <v>2004</v>
      </c>
      <c r="AE50" s="295"/>
    </row>
    <row r="51" spans="2:31" ht="14.25" customHeight="1">
      <c r="B51" s="66" t="s">
        <v>34</v>
      </c>
      <c r="C51" s="35"/>
      <c r="D51" s="159" t="s">
        <v>139</v>
      </c>
      <c r="E51" s="157" t="s">
        <v>139</v>
      </c>
      <c r="F51" s="157" t="s">
        <v>139</v>
      </c>
      <c r="G51" s="157" t="s">
        <v>139</v>
      </c>
      <c r="H51" s="157" t="s">
        <v>139</v>
      </c>
      <c r="I51" s="157" t="s">
        <v>139</v>
      </c>
      <c r="J51" s="157" t="s">
        <v>139</v>
      </c>
      <c r="K51" s="172" t="s">
        <v>139</v>
      </c>
      <c r="N51" s="66" t="s">
        <v>347</v>
      </c>
      <c r="O51" s="159" t="s">
        <v>139</v>
      </c>
      <c r="P51" s="157" t="s">
        <v>354</v>
      </c>
      <c r="Q51" s="157"/>
      <c r="R51" s="157"/>
      <c r="S51" s="157" t="s">
        <v>139</v>
      </c>
      <c r="T51" s="157" t="s">
        <v>354</v>
      </c>
      <c r="U51" s="157">
        <v>1940.71</v>
      </c>
      <c r="V51" s="39">
        <f>ROUND(U51/$AB$57,0)</f>
        <v>1964</v>
      </c>
      <c r="W51" s="157" t="s">
        <v>139</v>
      </c>
      <c r="X51" s="172" t="s">
        <v>354</v>
      </c>
      <c r="AA51" s="181" t="s">
        <v>119</v>
      </c>
      <c r="AB51" s="352">
        <f t="shared" si="0"/>
        <v>0.94641666666666691</v>
      </c>
      <c r="AC51" s="353">
        <v>94.641666666666694</v>
      </c>
      <c r="AD51" s="476">
        <v>2005</v>
      </c>
      <c r="AE51" s="295"/>
    </row>
    <row r="52" spans="2:31" ht="14.25" customHeight="1">
      <c r="B52" s="66" t="s">
        <v>35</v>
      </c>
      <c r="C52" s="35"/>
      <c r="D52" s="159" t="s">
        <v>328</v>
      </c>
      <c r="E52" s="157" t="s">
        <v>138</v>
      </c>
      <c r="F52" s="157" t="s">
        <v>138</v>
      </c>
      <c r="G52" s="157" t="s">
        <v>133</v>
      </c>
      <c r="H52" s="157" t="s">
        <v>125</v>
      </c>
      <c r="I52" s="157" t="s">
        <v>133</v>
      </c>
      <c r="J52" s="157" t="s">
        <v>133</v>
      </c>
      <c r="K52" s="172" t="s">
        <v>133</v>
      </c>
      <c r="N52" s="66" t="s">
        <v>357</v>
      </c>
      <c r="O52" s="159">
        <v>155</v>
      </c>
      <c r="P52" s="39">
        <f>ROUND(O52/$AB$54,0)</f>
        <v>151</v>
      </c>
      <c r="Q52" s="157" t="s">
        <v>133</v>
      </c>
      <c r="R52" s="157" t="s">
        <v>133</v>
      </c>
      <c r="S52" s="157"/>
      <c r="T52" s="157"/>
      <c r="U52" s="157" t="s">
        <v>355</v>
      </c>
      <c r="V52" s="157" t="s">
        <v>133</v>
      </c>
      <c r="W52" s="157"/>
      <c r="X52" s="172"/>
      <c r="AA52" s="181" t="s">
        <v>120</v>
      </c>
      <c r="AB52" s="352">
        <f t="shared" si="0"/>
        <v>0.96733333333333305</v>
      </c>
      <c r="AC52" s="353">
        <v>96.733333333333306</v>
      </c>
      <c r="AD52" s="476">
        <v>2006</v>
      </c>
      <c r="AE52" s="295"/>
    </row>
    <row r="53" spans="2:31" ht="14.25" customHeight="1">
      <c r="B53" s="66" t="s">
        <v>36</v>
      </c>
      <c r="C53" s="35"/>
      <c r="D53" s="159" t="s">
        <v>139</v>
      </c>
      <c r="E53" s="157" t="s">
        <v>139</v>
      </c>
      <c r="F53" s="157" t="s">
        <v>139</v>
      </c>
      <c r="G53" s="157" t="s">
        <v>139</v>
      </c>
      <c r="H53" s="157" t="s">
        <v>139</v>
      </c>
      <c r="I53" s="157" t="s">
        <v>139</v>
      </c>
      <c r="J53" s="157" t="s">
        <v>139</v>
      </c>
      <c r="K53" s="172" t="s">
        <v>139</v>
      </c>
      <c r="N53" s="66" t="s">
        <v>348</v>
      </c>
      <c r="O53" s="159">
        <v>855.15</v>
      </c>
      <c r="P53" s="39">
        <f>ROUND(O53/$AB$54,0)</f>
        <v>831</v>
      </c>
      <c r="Q53" s="157" t="s">
        <v>354</v>
      </c>
      <c r="R53" s="157" t="s">
        <v>354</v>
      </c>
      <c r="S53" s="157">
        <v>594.88</v>
      </c>
      <c r="T53" s="39">
        <f>ROUND(S53/$AB$56,0)</f>
        <v>611</v>
      </c>
      <c r="U53" s="157">
        <v>768</v>
      </c>
      <c r="V53" s="39">
        <f>ROUND(U53/$AB$57,0)</f>
        <v>777</v>
      </c>
      <c r="W53" s="157">
        <v>814.07</v>
      </c>
      <c r="X53" s="82">
        <f>ROUND(W53/$AB$58,0)</f>
        <v>831</v>
      </c>
      <c r="AA53" s="181" t="s">
        <v>122</v>
      </c>
      <c r="AB53" s="352">
        <f t="shared" si="0"/>
        <v>0.98408333333333298</v>
      </c>
      <c r="AC53" s="353">
        <v>98.408333333333303</v>
      </c>
      <c r="AD53" s="476">
        <v>2007</v>
      </c>
      <c r="AE53" s="295"/>
    </row>
    <row r="54" spans="2:31" ht="14.25" customHeight="1">
      <c r="B54" s="66" t="s">
        <v>37</v>
      </c>
      <c r="C54" s="35"/>
      <c r="D54" s="159">
        <v>316</v>
      </c>
      <c r="E54" s="39">
        <f>ROUND(D54/$AB$36,0)</f>
        <v>301</v>
      </c>
      <c r="F54" s="157">
        <v>364</v>
      </c>
      <c r="G54" s="39">
        <f>ROUND(F54/$AB$37,0)</f>
        <v>344</v>
      </c>
      <c r="H54" s="157">
        <v>314</v>
      </c>
      <c r="I54" s="39">
        <f>ROUND(H54/$AB$38,0)</f>
        <v>299</v>
      </c>
      <c r="J54" s="157">
        <v>1558</v>
      </c>
      <c r="K54" s="82">
        <f>ROUND(J54/$AB$39,0)</f>
        <v>1507</v>
      </c>
      <c r="N54" s="66" t="s">
        <v>349</v>
      </c>
      <c r="O54" s="159" t="s">
        <v>139</v>
      </c>
      <c r="P54" s="157" t="s">
        <v>354</v>
      </c>
      <c r="Q54" s="157" t="s">
        <v>354</v>
      </c>
      <c r="R54" s="157" t="s">
        <v>354</v>
      </c>
      <c r="S54" s="157" t="s">
        <v>139</v>
      </c>
      <c r="T54" s="157" t="s">
        <v>354</v>
      </c>
      <c r="U54" s="157" t="s">
        <v>139</v>
      </c>
      <c r="V54" s="157" t="s">
        <v>354</v>
      </c>
      <c r="W54" s="157" t="s">
        <v>139</v>
      </c>
      <c r="X54" s="172" t="s">
        <v>354</v>
      </c>
      <c r="AA54" s="181" t="s">
        <v>123</v>
      </c>
      <c r="AB54" s="352">
        <f t="shared" si="0"/>
        <v>1.02908333333333</v>
      </c>
      <c r="AC54" s="353">
        <v>102.908333333333</v>
      </c>
      <c r="AD54" s="476">
        <v>2008</v>
      </c>
      <c r="AE54" s="295"/>
    </row>
    <row r="55" spans="2:31" ht="14.25" customHeight="1">
      <c r="B55" s="66"/>
      <c r="C55" s="35"/>
      <c r="D55" s="159"/>
      <c r="E55" s="39"/>
      <c r="F55" s="157"/>
      <c r="G55" s="39"/>
      <c r="H55" s="157"/>
      <c r="I55" s="39"/>
      <c r="J55" s="157"/>
      <c r="K55" s="82"/>
      <c r="N55" s="66" t="s">
        <v>350</v>
      </c>
      <c r="O55" s="159" t="s">
        <v>139</v>
      </c>
      <c r="P55" s="157" t="s">
        <v>354</v>
      </c>
      <c r="Q55" s="157"/>
      <c r="R55" s="157"/>
      <c r="S55" s="157" t="s">
        <v>139</v>
      </c>
      <c r="T55" s="157" t="s">
        <v>354</v>
      </c>
      <c r="U55" s="157"/>
      <c r="V55" s="157"/>
      <c r="W55" s="157"/>
      <c r="X55" s="172"/>
      <c r="AA55" s="181" t="s">
        <v>333</v>
      </c>
      <c r="AB55" s="352">
        <f t="shared" si="0"/>
        <v>0.97508333333333297</v>
      </c>
      <c r="AC55" s="353">
        <v>97.508333333333297</v>
      </c>
      <c r="AD55" s="476">
        <v>2009</v>
      </c>
      <c r="AE55" s="295"/>
    </row>
    <row r="56" spans="2:31" ht="14.25" customHeight="1">
      <c r="B56" s="66" t="s">
        <v>38</v>
      </c>
      <c r="C56" s="35"/>
      <c r="D56" s="159">
        <v>12651</v>
      </c>
      <c r="E56" s="39">
        <f>ROUND(D56/$AB$36,0)</f>
        <v>12062</v>
      </c>
      <c r="F56" s="157">
        <v>12517</v>
      </c>
      <c r="G56" s="39">
        <f>ROUND(F56/$AB$37,0)</f>
        <v>11812</v>
      </c>
      <c r="H56" s="157">
        <v>11802</v>
      </c>
      <c r="I56" s="39">
        <f>ROUND(H56/$AB$38,0)</f>
        <v>11236</v>
      </c>
      <c r="J56" s="157">
        <v>10008</v>
      </c>
      <c r="K56" s="82">
        <f>ROUND(J56/$AB$39,0)</f>
        <v>9680</v>
      </c>
      <c r="N56" s="66"/>
      <c r="O56" s="81"/>
      <c r="P56" s="39"/>
      <c r="Q56" s="39"/>
      <c r="R56" s="39"/>
      <c r="S56" s="39"/>
      <c r="T56" s="39"/>
      <c r="U56" s="39"/>
      <c r="V56" s="39"/>
      <c r="W56" s="39"/>
      <c r="X56" s="82"/>
      <c r="AA56" s="181" t="s">
        <v>334</v>
      </c>
      <c r="AB56" s="352">
        <f t="shared" si="0"/>
        <v>0.97408333333333308</v>
      </c>
      <c r="AC56" s="353">
        <v>97.408333333333303</v>
      </c>
      <c r="AD56" s="476">
        <v>2010</v>
      </c>
      <c r="AE56" s="295"/>
    </row>
    <row r="57" spans="2:31" ht="14.25" customHeight="1">
      <c r="B57" s="66" t="s">
        <v>39</v>
      </c>
      <c r="C57" s="35"/>
      <c r="D57" s="159">
        <v>2672</v>
      </c>
      <c r="E57" s="39">
        <f>ROUND(D57/$AB$36,0)</f>
        <v>2548</v>
      </c>
      <c r="F57" s="157">
        <v>2720</v>
      </c>
      <c r="G57" s="39">
        <f>ROUND(F57/$AB$37,0)</f>
        <v>2567</v>
      </c>
      <c r="H57" s="157">
        <v>1577</v>
      </c>
      <c r="I57" s="39">
        <f>ROUND(H57/$AB$38,0)</f>
        <v>1501</v>
      </c>
      <c r="J57" s="157">
        <v>2106</v>
      </c>
      <c r="K57" s="82">
        <f>ROUND(J57/$AB$39,0)</f>
        <v>2037</v>
      </c>
      <c r="N57" s="66"/>
      <c r="O57" s="159"/>
      <c r="P57" s="157"/>
      <c r="Q57" s="157"/>
      <c r="R57" s="157"/>
      <c r="S57" s="157"/>
      <c r="T57" s="157"/>
      <c r="U57" s="157"/>
      <c r="V57" s="157"/>
      <c r="W57" s="157"/>
      <c r="X57" s="172"/>
      <c r="AA57" s="181" t="s">
        <v>335</v>
      </c>
      <c r="AB57" s="352">
        <f t="shared" si="0"/>
        <v>0.98799999999999999</v>
      </c>
      <c r="AC57" s="353">
        <v>98.8</v>
      </c>
      <c r="AD57" s="476">
        <v>2011</v>
      </c>
      <c r="AE57" s="295"/>
    </row>
    <row r="58" spans="2:31" ht="14.25" customHeight="1">
      <c r="B58" s="66" t="s">
        <v>40</v>
      </c>
      <c r="C58" s="35"/>
      <c r="D58" s="159" t="s">
        <v>328</v>
      </c>
      <c r="E58" s="157" t="s">
        <v>138</v>
      </c>
      <c r="F58" s="157" t="s">
        <v>138</v>
      </c>
      <c r="G58" s="157" t="s">
        <v>138</v>
      </c>
      <c r="H58" s="157" t="s">
        <v>139</v>
      </c>
      <c r="I58" s="157" t="s">
        <v>139</v>
      </c>
      <c r="J58" s="157" t="s">
        <v>138</v>
      </c>
      <c r="K58" s="172" t="s">
        <v>138</v>
      </c>
      <c r="N58" s="66"/>
      <c r="O58" s="159"/>
      <c r="P58" s="157"/>
      <c r="Q58" s="157"/>
      <c r="R58" s="157"/>
      <c r="S58" s="157"/>
      <c r="T58" s="157"/>
      <c r="U58" s="157"/>
      <c r="V58" s="157"/>
      <c r="W58" s="157"/>
      <c r="X58" s="172"/>
      <c r="AA58" s="181" t="s">
        <v>336</v>
      </c>
      <c r="AB58" s="352">
        <f t="shared" si="0"/>
        <v>0.97950000000000004</v>
      </c>
      <c r="AC58" s="353">
        <v>97.95</v>
      </c>
      <c r="AD58" s="476">
        <v>2012</v>
      </c>
      <c r="AE58" s="295"/>
    </row>
    <row r="59" spans="2:31" ht="14.25" customHeight="1">
      <c r="B59" s="66" t="s">
        <v>41</v>
      </c>
      <c r="C59" s="35"/>
      <c r="D59" s="159">
        <v>3626</v>
      </c>
      <c r="E59" s="39">
        <f>ROUND(D59/$AB$36,0)</f>
        <v>3457</v>
      </c>
      <c r="F59" s="157">
        <v>1608</v>
      </c>
      <c r="G59" s="39">
        <f>ROUND(F59/$AB$37,0)</f>
        <v>1517</v>
      </c>
      <c r="H59" s="157">
        <v>459</v>
      </c>
      <c r="I59" s="39">
        <f>ROUND(H59/$AB$38,0)</f>
        <v>437</v>
      </c>
      <c r="J59" s="157">
        <v>2148</v>
      </c>
      <c r="K59" s="82">
        <f>ROUND(J59/$AB$39,0)</f>
        <v>2078</v>
      </c>
      <c r="N59" s="66"/>
      <c r="O59" s="159"/>
      <c r="P59" s="157"/>
      <c r="Q59" s="119"/>
      <c r="R59" s="119"/>
      <c r="S59" s="119"/>
      <c r="T59" s="157"/>
      <c r="U59" s="157"/>
      <c r="V59" s="155"/>
      <c r="W59" s="157"/>
      <c r="X59" s="172"/>
      <c r="AA59" s="181" t="s">
        <v>495</v>
      </c>
      <c r="AB59" s="352">
        <f>AC59/100</f>
        <v>0.99166666666666703</v>
      </c>
      <c r="AC59" s="353">
        <v>99.1666666666667</v>
      </c>
      <c r="AD59" s="476">
        <v>2013</v>
      </c>
    </row>
    <row r="60" spans="2:31" ht="14.25" customHeight="1">
      <c r="B60" s="66" t="s">
        <v>42</v>
      </c>
      <c r="C60" s="35"/>
      <c r="D60" s="159" t="s">
        <v>133</v>
      </c>
      <c r="E60" s="157" t="s">
        <v>133</v>
      </c>
      <c r="F60" s="157" t="s">
        <v>133</v>
      </c>
      <c r="G60" s="157" t="s">
        <v>133</v>
      </c>
      <c r="H60" s="157" t="s">
        <v>125</v>
      </c>
      <c r="I60" s="157" t="s">
        <v>125</v>
      </c>
      <c r="J60" s="157" t="s">
        <v>141</v>
      </c>
      <c r="K60" s="172" t="s">
        <v>141</v>
      </c>
      <c r="N60" s="66"/>
      <c r="O60" s="159"/>
      <c r="P60" s="157"/>
      <c r="Q60" s="119"/>
      <c r="R60" s="119"/>
      <c r="S60" s="119"/>
      <c r="T60" s="157"/>
      <c r="U60" s="157"/>
      <c r="V60" s="155"/>
      <c r="W60" s="157"/>
      <c r="X60" s="172"/>
      <c r="AA60" s="181" t="s">
        <v>496</v>
      </c>
      <c r="AB60" s="352">
        <f t="shared" si="0"/>
        <v>1.0234999999999999</v>
      </c>
      <c r="AC60" s="353">
        <v>102.35</v>
      </c>
      <c r="AD60" s="476">
        <v>2014</v>
      </c>
    </row>
    <row r="61" spans="2:31" ht="14.25" customHeight="1">
      <c r="B61" s="66"/>
      <c r="C61" s="35"/>
      <c r="D61" s="159"/>
      <c r="E61" s="39"/>
      <c r="F61" s="157"/>
      <c r="G61" s="39"/>
      <c r="H61" s="157"/>
      <c r="I61" s="39"/>
      <c r="J61" s="157"/>
      <c r="K61" s="82"/>
      <c r="N61" s="66"/>
      <c r="O61" s="159"/>
      <c r="P61" s="157"/>
      <c r="Q61" s="119"/>
      <c r="R61" s="119"/>
      <c r="S61" s="119"/>
      <c r="T61" s="157"/>
      <c r="U61" s="157"/>
      <c r="V61" s="155"/>
      <c r="W61" s="157"/>
      <c r="X61" s="172"/>
      <c r="AA61" s="181" t="s">
        <v>497</v>
      </c>
      <c r="AB61" s="352">
        <f>AC61/100</f>
        <v>1</v>
      </c>
      <c r="AC61" s="353">
        <v>100</v>
      </c>
      <c r="AD61" s="476">
        <v>2015</v>
      </c>
    </row>
    <row r="62" spans="2:31" ht="14.25" customHeight="1">
      <c r="B62" s="68" t="s">
        <v>43</v>
      </c>
      <c r="C62" s="212"/>
      <c r="D62" s="160">
        <v>88</v>
      </c>
      <c r="E62" s="55">
        <f>ROUND(D62/$AB$36,0)</f>
        <v>84</v>
      </c>
      <c r="F62" s="161">
        <v>82</v>
      </c>
      <c r="G62" s="55">
        <f>ROUND(F62/$AB$37,0)</f>
        <v>77</v>
      </c>
      <c r="H62" s="161">
        <v>74</v>
      </c>
      <c r="I62" s="55">
        <f>ROUND(H62/$AB$38,0)</f>
        <v>70</v>
      </c>
      <c r="J62" s="161">
        <v>77</v>
      </c>
      <c r="K62" s="84">
        <f>ROUND(J62/$AB$39,0)</f>
        <v>74</v>
      </c>
      <c r="N62" s="68"/>
      <c r="O62" s="160"/>
      <c r="P62" s="161"/>
      <c r="Q62" s="164"/>
      <c r="R62" s="164"/>
      <c r="S62" s="164"/>
      <c r="T62" s="161"/>
      <c r="U62" s="161"/>
      <c r="V62" s="324"/>
      <c r="W62" s="161"/>
      <c r="X62" s="175"/>
      <c r="AA62" s="181" t="s">
        <v>498</v>
      </c>
      <c r="AB62" s="352">
        <f t="shared" si="0"/>
        <v>0.96499999999999997</v>
      </c>
      <c r="AC62" s="353">
        <v>96.5</v>
      </c>
      <c r="AD62" s="476">
        <v>2016</v>
      </c>
    </row>
    <row r="63" spans="2:31" ht="14.25" customHeight="1">
      <c r="J63" s="70" t="s">
        <v>76</v>
      </c>
      <c r="L63" s="70"/>
      <c r="N63" s="1" t="s">
        <v>501</v>
      </c>
      <c r="X63" s="71" t="s">
        <v>361</v>
      </c>
      <c r="Y63" s="70"/>
      <c r="Z63" s="70"/>
      <c r="AA63" s="181" t="s">
        <v>499</v>
      </c>
      <c r="AB63" s="352">
        <f t="shared" si="0"/>
        <v>0.98724999999999996</v>
      </c>
      <c r="AC63" s="353">
        <v>98.724999999999994</v>
      </c>
      <c r="AD63" s="476">
        <v>2017</v>
      </c>
    </row>
    <row r="64" spans="2:31" ht="14.25" customHeight="1">
      <c r="L64" s="70"/>
      <c r="N64" s="1" t="s">
        <v>423</v>
      </c>
      <c r="Y64" s="70"/>
      <c r="Z64" s="70"/>
    </row>
    <row r="65" spans="2:26" ht="14.25" customHeight="1">
      <c r="L65" s="70"/>
      <c r="N65" s="1" t="s">
        <v>437</v>
      </c>
      <c r="Y65" s="70"/>
      <c r="Z65" s="70"/>
    </row>
    <row r="66" spans="2:26" ht="14.25" customHeight="1">
      <c r="L66" s="70"/>
      <c r="Y66" s="70"/>
      <c r="Z66" s="70"/>
    </row>
    <row r="67" spans="2:26" ht="14.25" customHeight="1">
      <c r="K67" s="71" t="s">
        <v>46</v>
      </c>
      <c r="X67" s="71" t="s">
        <v>46</v>
      </c>
    </row>
    <row r="68" spans="2:26" ht="14.25" customHeight="1">
      <c r="B68" s="652" t="s">
        <v>45</v>
      </c>
      <c r="C68" s="707"/>
      <c r="D68" s="72" t="s">
        <v>69</v>
      </c>
      <c r="E68" s="73"/>
      <c r="F68" s="74" t="s">
        <v>70</v>
      </c>
      <c r="G68" s="115"/>
      <c r="H68" s="74" t="s">
        <v>71</v>
      </c>
      <c r="I68" s="73"/>
      <c r="J68" s="74" t="s">
        <v>72</v>
      </c>
      <c r="K68" s="75"/>
      <c r="N68" s="664" t="s">
        <v>45</v>
      </c>
      <c r="O68" s="115" t="s">
        <v>479</v>
      </c>
      <c r="P68" s="73"/>
      <c r="Q68" s="74" t="s">
        <v>460</v>
      </c>
      <c r="R68" s="115"/>
      <c r="S68" s="116" t="s">
        <v>480</v>
      </c>
      <c r="T68" s="73"/>
      <c r="U68" s="74" t="s">
        <v>467</v>
      </c>
      <c r="V68" s="115"/>
      <c r="W68" s="74" t="s">
        <v>481</v>
      </c>
      <c r="X68" s="75"/>
    </row>
    <row r="69" spans="2:26" ht="14.25" customHeight="1">
      <c r="B69" s="708"/>
      <c r="C69" s="709"/>
      <c r="D69" s="76" t="s">
        <v>44</v>
      </c>
      <c r="E69" s="77" t="s">
        <v>20</v>
      </c>
      <c r="F69" s="77" t="s">
        <v>44</v>
      </c>
      <c r="G69" s="329" t="s">
        <v>20</v>
      </c>
      <c r="H69" s="77" t="s">
        <v>44</v>
      </c>
      <c r="I69" s="77" t="s">
        <v>20</v>
      </c>
      <c r="J69" s="77" t="s">
        <v>44</v>
      </c>
      <c r="K69" s="78" t="s">
        <v>20</v>
      </c>
      <c r="N69" s="668"/>
      <c r="O69" s="701" t="s">
        <v>44</v>
      </c>
      <c r="P69" s="340" t="s">
        <v>358</v>
      </c>
      <c r="Q69" s="703" t="s">
        <v>44</v>
      </c>
      <c r="R69" s="338" t="s">
        <v>358</v>
      </c>
      <c r="S69" s="701" t="s">
        <v>44</v>
      </c>
      <c r="T69" s="338" t="s">
        <v>358</v>
      </c>
      <c r="U69" s="701" t="s">
        <v>44</v>
      </c>
      <c r="V69" s="338" t="s">
        <v>358</v>
      </c>
      <c r="W69" s="701" t="s">
        <v>44</v>
      </c>
      <c r="X69" s="342" t="s">
        <v>358</v>
      </c>
    </row>
    <row r="70" spans="2:26" ht="14.25" customHeight="1">
      <c r="B70" s="8" t="s">
        <v>22</v>
      </c>
      <c r="C70" s="59"/>
      <c r="D70" s="354">
        <v>22890</v>
      </c>
      <c r="E70" s="130">
        <f>ROUND(D70/$AB$40,0)</f>
        <v>22507</v>
      </c>
      <c r="F70" s="307">
        <v>25325</v>
      </c>
      <c r="G70" s="130">
        <f>ROUND(F70/$AB$41,0)</f>
        <v>25114</v>
      </c>
      <c r="H70" s="307">
        <v>26689</v>
      </c>
      <c r="I70" s="130">
        <f>ROUND(H70/$AB$42,0)</f>
        <v>26918</v>
      </c>
      <c r="J70" s="307">
        <v>28336</v>
      </c>
      <c r="K70" s="87">
        <f>ROUND(J70/$AB$43,0)</f>
        <v>28386</v>
      </c>
      <c r="N70" s="669"/>
      <c r="O70" s="702"/>
      <c r="P70" s="341" t="s">
        <v>359</v>
      </c>
      <c r="Q70" s="704"/>
      <c r="R70" s="339" t="s">
        <v>359</v>
      </c>
      <c r="S70" s="702"/>
      <c r="T70" s="339" t="s">
        <v>359</v>
      </c>
      <c r="U70" s="702"/>
      <c r="V70" s="339" t="s">
        <v>359</v>
      </c>
      <c r="W70" s="702"/>
      <c r="X70" s="343" t="s">
        <v>359</v>
      </c>
    </row>
    <row r="71" spans="2:26" ht="14.25" customHeight="1">
      <c r="B71" s="66"/>
      <c r="C71" s="67"/>
      <c r="D71" s="159"/>
      <c r="E71" s="39"/>
      <c r="F71" s="157"/>
      <c r="G71" s="37"/>
      <c r="H71" s="157"/>
      <c r="I71" s="39"/>
      <c r="J71" s="157"/>
      <c r="K71" s="82"/>
      <c r="N71" s="8" t="s">
        <v>22</v>
      </c>
      <c r="O71" s="326">
        <v>17295.39</v>
      </c>
      <c r="P71" s="130">
        <f>ROUND(O71/$AB$59,0)</f>
        <v>17441</v>
      </c>
      <c r="Q71" s="350">
        <v>16803.439999999999</v>
      </c>
      <c r="R71" s="130">
        <f>ROUND(Q71/$AB$60,0)</f>
        <v>16418</v>
      </c>
      <c r="S71" s="350">
        <v>20318.240000000002</v>
      </c>
      <c r="T71" s="130">
        <f>ROUND(S71/$AB$61,0)</f>
        <v>20318</v>
      </c>
      <c r="U71" s="350">
        <v>27641.33</v>
      </c>
      <c r="V71" s="130">
        <f>ROUND(U71/$AB$62,0)</f>
        <v>28644</v>
      </c>
      <c r="W71" s="350">
        <v>18425.04</v>
      </c>
      <c r="X71" s="87">
        <f>ROUND(W71/$AB$63,0)</f>
        <v>18663</v>
      </c>
    </row>
    <row r="72" spans="2:26" ht="14.25" customHeight="1">
      <c r="B72" s="66" t="s">
        <v>23</v>
      </c>
      <c r="C72" s="67"/>
      <c r="D72" s="159">
        <v>2693</v>
      </c>
      <c r="E72" s="39">
        <f>ROUND(D72/$AB$40,0)</f>
        <v>2648</v>
      </c>
      <c r="F72" s="157">
        <v>2937</v>
      </c>
      <c r="G72" s="39">
        <f>ROUND(F72/$AB$41,0)</f>
        <v>2912</v>
      </c>
      <c r="H72" s="157">
        <v>3012</v>
      </c>
      <c r="I72" s="39">
        <f>ROUND(H72/$AB$42,0)</f>
        <v>3038</v>
      </c>
      <c r="J72" s="157">
        <v>2448</v>
      </c>
      <c r="K72" s="82">
        <f>ROUND(J72/$AB$43,0)</f>
        <v>2452</v>
      </c>
      <c r="N72" s="66"/>
      <c r="O72" s="331"/>
      <c r="P72" s="188"/>
      <c r="Q72" s="188"/>
      <c r="R72" s="188"/>
      <c r="S72" s="188"/>
      <c r="T72" s="188"/>
      <c r="U72" s="188"/>
      <c r="V72" s="188"/>
      <c r="W72" s="188"/>
      <c r="X72" s="349"/>
    </row>
    <row r="73" spans="2:26" ht="14.25" customHeight="1">
      <c r="B73" s="66" t="s">
        <v>24</v>
      </c>
      <c r="C73" s="67"/>
      <c r="D73" s="159" t="s">
        <v>139</v>
      </c>
      <c r="E73" s="157" t="s">
        <v>139</v>
      </c>
      <c r="F73" s="157" t="s">
        <v>139</v>
      </c>
      <c r="G73" s="155" t="s">
        <v>139</v>
      </c>
      <c r="H73" s="157" t="s">
        <v>139</v>
      </c>
      <c r="I73" s="157" t="s">
        <v>139</v>
      </c>
      <c r="J73" s="157" t="s">
        <v>139</v>
      </c>
      <c r="K73" s="172" t="s">
        <v>139</v>
      </c>
      <c r="N73" s="66" t="s">
        <v>337</v>
      </c>
      <c r="O73" s="159">
        <v>1633.57</v>
      </c>
      <c r="P73" s="39">
        <f>ROUND(O73/$AB$59,0)</f>
        <v>1647</v>
      </c>
      <c r="Q73" s="157">
        <v>1591.51</v>
      </c>
      <c r="R73" s="39">
        <f>ROUND(Q73/$AB$60,0)</f>
        <v>1555</v>
      </c>
      <c r="S73" s="157">
        <v>2899.43</v>
      </c>
      <c r="T73" s="39">
        <f t="shared" ref="T73:T74" si="6">ROUND(S73/$AB$61,0)</f>
        <v>2899</v>
      </c>
      <c r="U73" s="157">
        <v>1615.74</v>
      </c>
      <c r="V73" s="39">
        <f>ROUND(U73/$AB$62,0)</f>
        <v>1674</v>
      </c>
      <c r="W73" s="157">
        <v>1805.33</v>
      </c>
      <c r="X73" s="82">
        <f>ROUND(W73/$AB$63,0)</f>
        <v>1829</v>
      </c>
    </row>
    <row r="74" spans="2:26" ht="14.25" customHeight="1">
      <c r="B74" s="66" t="s">
        <v>25</v>
      </c>
      <c r="C74" s="67"/>
      <c r="D74" s="159" t="s">
        <v>139</v>
      </c>
      <c r="E74" s="157" t="s">
        <v>139</v>
      </c>
      <c r="F74" s="157" t="s">
        <v>139</v>
      </c>
      <c r="G74" s="155" t="s">
        <v>139</v>
      </c>
      <c r="H74" s="157" t="s">
        <v>139</v>
      </c>
      <c r="I74" s="157" t="s">
        <v>139</v>
      </c>
      <c r="J74" s="157" t="s">
        <v>139</v>
      </c>
      <c r="K74" s="172" t="s">
        <v>139</v>
      </c>
      <c r="N74" s="66" t="s">
        <v>338</v>
      </c>
      <c r="O74" s="159" t="s">
        <v>139</v>
      </c>
      <c r="P74" s="157" t="s">
        <v>139</v>
      </c>
      <c r="Q74" s="157" t="s">
        <v>139</v>
      </c>
      <c r="R74" s="157" t="s">
        <v>139</v>
      </c>
      <c r="S74" s="157">
        <v>810.47</v>
      </c>
      <c r="T74" s="39">
        <f t="shared" si="6"/>
        <v>810</v>
      </c>
      <c r="U74" s="157" t="s">
        <v>139</v>
      </c>
      <c r="V74" s="157" t="s">
        <v>139</v>
      </c>
      <c r="W74" s="157" t="s">
        <v>139</v>
      </c>
      <c r="X74" s="172" t="s">
        <v>139</v>
      </c>
    </row>
    <row r="75" spans="2:26" ht="14.25" customHeight="1">
      <c r="B75" s="66" t="s">
        <v>416</v>
      </c>
      <c r="C75" s="67"/>
      <c r="D75" s="159" t="s">
        <v>139</v>
      </c>
      <c r="E75" s="157" t="s">
        <v>139</v>
      </c>
      <c r="F75" s="157" t="s">
        <v>139</v>
      </c>
      <c r="G75" s="155" t="s">
        <v>139</v>
      </c>
      <c r="H75" s="157" t="s">
        <v>139</v>
      </c>
      <c r="I75" s="157" t="s">
        <v>139</v>
      </c>
      <c r="J75" s="157" t="s">
        <v>139</v>
      </c>
      <c r="K75" s="172" t="s">
        <v>139</v>
      </c>
      <c r="N75" s="66" t="s">
        <v>339</v>
      </c>
      <c r="O75" s="159" t="s">
        <v>139</v>
      </c>
      <c r="P75" s="157" t="s">
        <v>139</v>
      </c>
      <c r="Q75" s="157" t="s">
        <v>139</v>
      </c>
      <c r="R75" s="157" t="s">
        <v>139</v>
      </c>
      <c r="S75" s="157" t="s">
        <v>139</v>
      </c>
      <c r="T75" s="157" t="s">
        <v>139</v>
      </c>
      <c r="U75" s="157"/>
      <c r="V75" s="157"/>
      <c r="W75" s="157"/>
      <c r="X75" s="172"/>
    </row>
    <row r="76" spans="2:26" ht="14.25" customHeight="1">
      <c r="B76" s="66" t="s">
        <v>417</v>
      </c>
      <c r="C76" s="67"/>
      <c r="D76" s="159" t="s">
        <v>139</v>
      </c>
      <c r="E76" s="157" t="s">
        <v>139</v>
      </c>
      <c r="F76" s="157" t="s">
        <v>139</v>
      </c>
      <c r="G76" s="155" t="s">
        <v>139</v>
      </c>
      <c r="H76" s="157">
        <v>1131</v>
      </c>
      <c r="I76" s="39">
        <f>ROUND(H76/$AB$42,0)</f>
        <v>1141</v>
      </c>
      <c r="J76" s="157">
        <v>1178</v>
      </c>
      <c r="K76" s="82">
        <f>ROUND(J76/$AB$43,0)</f>
        <v>1180</v>
      </c>
      <c r="N76" s="66" t="s">
        <v>340</v>
      </c>
      <c r="O76" s="159">
        <v>1282.52</v>
      </c>
      <c r="P76" s="157">
        <f>ROUND(O76/$AB$59,0)</f>
        <v>1293</v>
      </c>
      <c r="Q76" s="157">
        <v>1422.11</v>
      </c>
      <c r="R76" s="39">
        <f>ROUND(Q76/$AB$60,0)</f>
        <v>1389</v>
      </c>
      <c r="S76" s="157">
        <v>1153.52</v>
      </c>
      <c r="T76" s="157">
        <f>ROUND(S76/$AB$61,0)</f>
        <v>1154</v>
      </c>
      <c r="U76" s="157">
        <v>1447.16</v>
      </c>
      <c r="V76" s="39">
        <f>ROUND(U76/$AB$62,0)</f>
        <v>1500</v>
      </c>
      <c r="W76" s="157">
        <v>1552.95</v>
      </c>
      <c r="X76" s="82">
        <f>ROUND(W76/$AB$63,0)</f>
        <v>1573</v>
      </c>
    </row>
    <row r="77" spans="2:26" ht="14.25" customHeight="1">
      <c r="B77" s="66"/>
      <c r="C77" s="67"/>
      <c r="D77" s="159"/>
      <c r="E77" s="39"/>
      <c r="F77" s="157"/>
      <c r="G77" s="37"/>
      <c r="H77" s="157"/>
      <c r="I77" s="39"/>
      <c r="J77" s="157"/>
      <c r="K77" s="82"/>
      <c r="N77" s="66" t="s">
        <v>341</v>
      </c>
      <c r="O77" s="159" t="s">
        <v>125</v>
      </c>
      <c r="P77" s="157" t="s">
        <v>125</v>
      </c>
      <c r="Q77" s="157" t="s">
        <v>125</v>
      </c>
      <c r="R77" s="157" t="s">
        <v>125</v>
      </c>
      <c r="S77" s="157"/>
      <c r="T77" s="157"/>
      <c r="U77" s="157"/>
      <c r="V77" s="157"/>
      <c r="W77" s="157"/>
      <c r="X77" s="172"/>
    </row>
    <row r="78" spans="2:26" ht="14.25" customHeight="1">
      <c r="B78" s="66" t="s">
        <v>418</v>
      </c>
      <c r="C78" s="67"/>
      <c r="D78" s="159" t="s">
        <v>139</v>
      </c>
      <c r="E78" s="157" t="s">
        <v>139</v>
      </c>
      <c r="F78" s="157" t="s">
        <v>139</v>
      </c>
      <c r="G78" s="155" t="s">
        <v>139</v>
      </c>
      <c r="H78" s="157">
        <v>1025</v>
      </c>
      <c r="I78" s="39">
        <f>ROUND(H78/$AB$42,0)</f>
        <v>1034</v>
      </c>
      <c r="J78" s="157">
        <v>1067</v>
      </c>
      <c r="K78" s="82">
        <f>ROUND(J78/$AB$43,0)</f>
        <v>1069</v>
      </c>
      <c r="N78" s="330"/>
      <c r="O78" s="159"/>
      <c r="P78" s="39"/>
      <c r="Q78" s="157"/>
      <c r="R78" s="39"/>
      <c r="S78" s="157"/>
      <c r="T78" s="39"/>
      <c r="U78" s="157"/>
      <c r="V78" s="39"/>
      <c r="W78" s="157"/>
      <c r="X78" s="82"/>
    </row>
    <row r="79" spans="2:26" ht="14.25" customHeight="1">
      <c r="B79" s="66" t="s">
        <v>419</v>
      </c>
      <c r="C79" s="67"/>
      <c r="D79" s="159" t="s">
        <v>139</v>
      </c>
      <c r="E79" s="157" t="s">
        <v>139</v>
      </c>
      <c r="F79" s="157" t="s">
        <v>139</v>
      </c>
      <c r="G79" s="155" t="s">
        <v>139</v>
      </c>
      <c r="H79" s="157" t="s">
        <v>139</v>
      </c>
      <c r="I79" s="157" t="s">
        <v>139</v>
      </c>
      <c r="J79" s="157" t="s">
        <v>139</v>
      </c>
      <c r="K79" s="172" t="s">
        <v>139</v>
      </c>
      <c r="N79" s="66" t="s">
        <v>342</v>
      </c>
      <c r="O79" s="159" t="s">
        <v>139</v>
      </c>
      <c r="P79" s="157" t="s">
        <v>139</v>
      </c>
      <c r="Q79" s="157"/>
      <c r="R79" s="157"/>
      <c r="S79" s="157" t="s">
        <v>139</v>
      </c>
      <c r="T79" s="157" t="s">
        <v>139</v>
      </c>
      <c r="U79" s="157" t="s">
        <v>139</v>
      </c>
      <c r="V79" s="157" t="s">
        <v>139</v>
      </c>
      <c r="W79" s="157" t="s">
        <v>139</v>
      </c>
      <c r="X79" s="172" t="s">
        <v>139</v>
      </c>
    </row>
    <row r="80" spans="2:26" ht="14.25" customHeight="1">
      <c r="B80" s="66" t="s">
        <v>30</v>
      </c>
      <c r="C80" s="67"/>
      <c r="D80" s="159">
        <v>2673</v>
      </c>
      <c r="E80" s="39">
        <f>ROUND(D80/$AB$40,0)</f>
        <v>2628</v>
      </c>
      <c r="F80" s="157">
        <v>2625</v>
      </c>
      <c r="G80" s="39">
        <f>ROUND(F80/$AB$41,0)</f>
        <v>2603</v>
      </c>
      <c r="H80" s="157">
        <v>2731</v>
      </c>
      <c r="I80" s="39">
        <f>ROUND(H80/$AB$42,0)</f>
        <v>2754</v>
      </c>
      <c r="J80" s="157" t="s">
        <v>139</v>
      </c>
      <c r="K80" s="172" t="s">
        <v>139</v>
      </c>
      <c r="N80" s="66" t="s">
        <v>500</v>
      </c>
      <c r="O80" s="159"/>
      <c r="P80" s="39"/>
      <c r="Q80" s="39"/>
      <c r="R80" s="39"/>
      <c r="S80" s="157" t="s">
        <v>125</v>
      </c>
      <c r="T80" s="157" t="s">
        <v>125</v>
      </c>
      <c r="U80" s="39"/>
      <c r="V80" s="39"/>
      <c r="W80" s="39"/>
      <c r="X80" s="82"/>
    </row>
    <row r="81" spans="2:24" ht="14.25" customHeight="1">
      <c r="B81" s="66" t="s">
        <v>420</v>
      </c>
      <c r="C81" s="67"/>
      <c r="D81" s="159" t="s">
        <v>330</v>
      </c>
      <c r="E81" s="157" t="s">
        <v>138</v>
      </c>
      <c r="F81" s="157" t="s">
        <v>138</v>
      </c>
      <c r="G81" s="155" t="s">
        <v>138</v>
      </c>
      <c r="H81" s="157" t="s">
        <v>125</v>
      </c>
      <c r="I81" s="157" t="s">
        <v>125</v>
      </c>
      <c r="J81" s="157" t="s">
        <v>139</v>
      </c>
      <c r="K81" s="172" t="s">
        <v>139</v>
      </c>
      <c r="N81" s="66" t="s">
        <v>343</v>
      </c>
      <c r="O81" s="159" t="s">
        <v>139</v>
      </c>
      <c r="P81" s="157" t="s">
        <v>139</v>
      </c>
      <c r="Q81" s="157" t="s">
        <v>139</v>
      </c>
      <c r="R81" s="157" t="s">
        <v>139</v>
      </c>
      <c r="S81" s="157" t="s">
        <v>139</v>
      </c>
      <c r="T81" s="157" t="s">
        <v>139</v>
      </c>
      <c r="U81" s="157" t="s">
        <v>139</v>
      </c>
      <c r="V81" s="157" t="s">
        <v>139</v>
      </c>
      <c r="W81" s="157" t="s">
        <v>139</v>
      </c>
      <c r="X81" s="172" t="s">
        <v>139</v>
      </c>
    </row>
    <row r="82" spans="2:24" ht="14.25" customHeight="1">
      <c r="B82" s="66" t="s">
        <v>32</v>
      </c>
      <c r="C82" s="67"/>
      <c r="D82" s="159" t="s">
        <v>133</v>
      </c>
      <c r="E82" s="157" t="s">
        <v>133</v>
      </c>
      <c r="F82" s="157" t="s">
        <v>133</v>
      </c>
      <c r="G82" s="155" t="s">
        <v>133</v>
      </c>
      <c r="H82" s="157" t="s">
        <v>125</v>
      </c>
      <c r="I82" s="157" t="s">
        <v>125</v>
      </c>
      <c r="J82" s="157">
        <v>2806</v>
      </c>
      <c r="K82" s="82">
        <f>ROUND(J82/$AB$43,0)</f>
        <v>2811</v>
      </c>
      <c r="N82" s="66" t="s">
        <v>344</v>
      </c>
      <c r="O82" s="159">
        <v>2631.81</v>
      </c>
      <c r="P82" s="39">
        <f t="shared" ref="P82:P84" si="7">ROUND(O82/$AB$59,0)</f>
        <v>2654</v>
      </c>
      <c r="Q82" s="157">
        <v>2866.39</v>
      </c>
      <c r="R82" s="39">
        <f t="shared" ref="R82:R84" si="8">ROUND(Q82/$AB$60,0)</f>
        <v>2801</v>
      </c>
      <c r="S82" s="157">
        <v>3263.47</v>
      </c>
      <c r="T82" s="39">
        <f t="shared" ref="T82:T84" si="9">ROUND(S82/$AB$61,0)</f>
        <v>3263</v>
      </c>
      <c r="U82" s="157">
        <v>2883.18</v>
      </c>
      <c r="V82" s="39">
        <f t="shared" ref="V82:V84" si="10">ROUND(U82/$AB$62,0)</f>
        <v>2988</v>
      </c>
      <c r="W82" s="157">
        <v>2593.66</v>
      </c>
      <c r="X82" s="82">
        <f t="shared" ref="X82:X84" si="11">ROUND(W82/$AB$63,0)</f>
        <v>2627</v>
      </c>
    </row>
    <row r="83" spans="2:24" ht="14.25" customHeight="1">
      <c r="B83" s="66"/>
      <c r="C83" s="67"/>
      <c r="D83" s="159"/>
      <c r="E83" s="39"/>
      <c r="F83" s="157"/>
      <c r="G83" s="37"/>
      <c r="H83" s="157"/>
      <c r="I83" s="39"/>
      <c r="J83" s="157"/>
      <c r="K83" s="82"/>
      <c r="N83" s="66" t="s">
        <v>345</v>
      </c>
      <c r="O83" s="159">
        <v>4774.59</v>
      </c>
      <c r="P83" s="39">
        <f t="shared" si="7"/>
        <v>4815</v>
      </c>
      <c r="Q83" s="157">
        <v>4347.33</v>
      </c>
      <c r="R83" s="39">
        <f t="shared" si="8"/>
        <v>4248</v>
      </c>
      <c r="S83" s="157">
        <v>4788.63</v>
      </c>
      <c r="T83" s="39">
        <f t="shared" si="9"/>
        <v>4789</v>
      </c>
      <c r="U83" s="157">
        <v>11851.71</v>
      </c>
      <c r="V83" s="39">
        <f t="shared" si="10"/>
        <v>12282</v>
      </c>
      <c r="W83" s="157">
        <v>233.25</v>
      </c>
      <c r="X83" s="82">
        <f t="shared" si="11"/>
        <v>236</v>
      </c>
    </row>
    <row r="84" spans="2:24" ht="14.25" customHeight="1">
      <c r="B84" s="66" t="s">
        <v>421</v>
      </c>
      <c r="C84" s="67"/>
      <c r="D84" s="159" t="s">
        <v>139</v>
      </c>
      <c r="E84" s="157" t="s">
        <v>139</v>
      </c>
      <c r="F84" s="157" t="s">
        <v>139</v>
      </c>
      <c r="G84" s="155" t="s">
        <v>139</v>
      </c>
      <c r="H84" s="157" t="s">
        <v>139</v>
      </c>
      <c r="I84" s="157" t="s">
        <v>139</v>
      </c>
      <c r="J84" s="157" t="s">
        <v>139</v>
      </c>
      <c r="K84" s="172" t="s">
        <v>139</v>
      </c>
      <c r="N84" s="66" t="s">
        <v>346</v>
      </c>
      <c r="O84" s="159">
        <v>3577.54</v>
      </c>
      <c r="P84" s="39">
        <f t="shared" si="7"/>
        <v>3608</v>
      </c>
      <c r="Q84" s="157">
        <v>2595.48</v>
      </c>
      <c r="R84" s="39">
        <f t="shared" si="8"/>
        <v>2536</v>
      </c>
      <c r="S84" s="157">
        <v>2999.71</v>
      </c>
      <c r="T84" s="39">
        <f t="shared" si="9"/>
        <v>3000</v>
      </c>
      <c r="U84" s="157">
        <v>5069.2</v>
      </c>
      <c r="V84" s="39">
        <f t="shared" si="10"/>
        <v>5253</v>
      </c>
      <c r="W84" s="157">
        <v>6526</v>
      </c>
      <c r="X84" s="82">
        <f t="shared" si="11"/>
        <v>6610</v>
      </c>
    </row>
    <row r="85" spans="2:24" ht="14.25" customHeight="1">
      <c r="B85" s="66" t="s">
        <v>34</v>
      </c>
      <c r="C85" s="67"/>
      <c r="D85" s="159" t="s">
        <v>139</v>
      </c>
      <c r="E85" s="157" t="s">
        <v>139</v>
      </c>
      <c r="F85" s="157" t="s">
        <v>139</v>
      </c>
      <c r="G85" s="155" t="s">
        <v>139</v>
      </c>
      <c r="H85" s="157">
        <v>770</v>
      </c>
      <c r="I85" s="39">
        <f>ROUND(H85/$AB$42,0)</f>
        <v>777</v>
      </c>
      <c r="J85" s="157">
        <v>964</v>
      </c>
      <c r="K85" s="82">
        <f>ROUND(J85/$AB$43,0)</f>
        <v>966</v>
      </c>
      <c r="N85" s="330"/>
      <c r="O85" s="159"/>
      <c r="P85" s="39"/>
      <c r="Q85" s="157"/>
      <c r="R85" s="39"/>
      <c r="S85" s="157"/>
      <c r="T85" s="39"/>
      <c r="U85" s="157"/>
      <c r="V85" s="39"/>
      <c r="W85" s="157"/>
      <c r="X85" s="82"/>
    </row>
    <row r="86" spans="2:24" ht="14.25" customHeight="1">
      <c r="B86" s="66" t="s">
        <v>35</v>
      </c>
      <c r="C86" s="67"/>
      <c r="D86" s="159" t="s">
        <v>133</v>
      </c>
      <c r="E86" s="157" t="s">
        <v>133</v>
      </c>
      <c r="F86" s="157" t="s">
        <v>133</v>
      </c>
      <c r="G86" s="155" t="s">
        <v>133</v>
      </c>
      <c r="H86" s="157" t="s">
        <v>125</v>
      </c>
      <c r="I86" s="157" t="s">
        <v>133</v>
      </c>
      <c r="J86" s="157" t="s">
        <v>139</v>
      </c>
      <c r="K86" s="172" t="s">
        <v>139</v>
      </c>
      <c r="N86" s="66" t="s">
        <v>347</v>
      </c>
      <c r="O86" s="159" t="s">
        <v>139</v>
      </c>
      <c r="P86" s="157" t="s">
        <v>139</v>
      </c>
      <c r="Q86" s="157" t="s">
        <v>139</v>
      </c>
      <c r="R86" s="157" t="s">
        <v>139</v>
      </c>
      <c r="S86" s="157" t="s">
        <v>139</v>
      </c>
      <c r="T86" s="157" t="s">
        <v>139</v>
      </c>
      <c r="U86" s="157" t="s">
        <v>139</v>
      </c>
      <c r="V86" s="157" t="s">
        <v>139</v>
      </c>
      <c r="W86" s="157">
        <v>1526.05</v>
      </c>
      <c r="X86" s="172">
        <f>ROUND(W86/$AB$63,0)</f>
        <v>1546</v>
      </c>
    </row>
    <row r="87" spans="2:24" ht="14.25" customHeight="1">
      <c r="B87" s="66" t="s">
        <v>36</v>
      </c>
      <c r="C87" s="67"/>
      <c r="D87" s="159" t="s">
        <v>139</v>
      </c>
      <c r="E87" s="157" t="s">
        <v>139</v>
      </c>
      <c r="F87" s="157" t="s">
        <v>139</v>
      </c>
      <c r="G87" s="155" t="s">
        <v>139</v>
      </c>
      <c r="H87" s="157" t="s">
        <v>139</v>
      </c>
      <c r="I87" s="157" t="s">
        <v>139</v>
      </c>
      <c r="J87" s="157" t="s">
        <v>139</v>
      </c>
      <c r="K87" s="172" t="s">
        <v>139</v>
      </c>
      <c r="N87" s="66" t="s">
        <v>357</v>
      </c>
      <c r="O87" s="159"/>
      <c r="P87" s="39"/>
      <c r="Q87" s="157"/>
      <c r="R87" s="157"/>
      <c r="S87" s="157" t="s">
        <v>125</v>
      </c>
      <c r="T87" s="157" t="s">
        <v>125</v>
      </c>
      <c r="U87" s="157" t="s">
        <v>125</v>
      </c>
      <c r="V87" s="157" t="s">
        <v>125</v>
      </c>
      <c r="W87" s="157" t="s">
        <v>125</v>
      </c>
      <c r="X87" s="172" t="s">
        <v>125</v>
      </c>
    </row>
    <row r="88" spans="2:24" ht="14.25" customHeight="1">
      <c r="B88" s="66" t="s">
        <v>37</v>
      </c>
      <c r="C88" s="67"/>
      <c r="D88" s="159">
        <v>1414</v>
      </c>
      <c r="E88" s="39">
        <f>ROUND(D88/$AB$40,0)</f>
        <v>1390</v>
      </c>
      <c r="F88" s="157">
        <v>1657</v>
      </c>
      <c r="G88" s="39">
        <f>ROUND(F88/$AB$41,0)</f>
        <v>1643</v>
      </c>
      <c r="H88" s="157">
        <v>1771</v>
      </c>
      <c r="I88" s="39">
        <f>ROUND(H88/$AB$42,0)</f>
        <v>1786</v>
      </c>
      <c r="J88" s="157">
        <v>2628</v>
      </c>
      <c r="K88" s="82">
        <f>ROUND(J88/$AB$43,0)</f>
        <v>2633</v>
      </c>
      <c r="N88" s="66" t="s">
        <v>348</v>
      </c>
      <c r="O88" s="159">
        <v>767.81</v>
      </c>
      <c r="P88" s="39">
        <f>ROUND(O88/$AB$59,0)</f>
        <v>774</v>
      </c>
      <c r="Q88" s="157">
        <v>876.88</v>
      </c>
      <c r="R88" s="157">
        <f t="shared" ref="R88" si="12">ROUND(Q88/$AB$60,0)</f>
        <v>857</v>
      </c>
      <c r="S88" s="157">
        <v>2395.9899999999998</v>
      </c>
      <c r="T88" s="39">
        <f>ROUND(S88/$AB$61,0)</f>
        <v>2396</v>
      </c>
      <c r="U88" s="157">
        <v>2189.37</v>
      </c>
      <c r="V88" s="39">
        <f>ROUND(U88/$AB$62,0)</f>
        <v>2269</v>
      </c>
      <c r="W88" s="157">
        <v>2919.33</v>
      </c>
      <c r="X88" s="82">
        <f>ROUND(W88/$AB$63,0)</f>
        <v>2957</v>
      </c>
    </row>
    <row r="89" spans="2:24" ht="14.25" customHeight="1">
      <c r="B89" s="66"/>
      <c r="C89" s="67"/>
      <c r="D89" s="159"/>
      <c r="E89" s="39"/>
      <c r="F89" s="157"/>
      <c r="G89" s="37"/>
      <c r="H89" s="157"/>
      <c r="I89" s="39"/>
      <c r="J89" s="157"/>
      <c r="K89" s="82"/>
      <c r="N89" s="66" t="s">
        <v>349</v>
      </c>
      <c r="O89" s="159"/>
      <c r="P89" s="157"/>
      <c r="Q89" s="157"/>
      <c r="R89" s="157"/>
      <c r="S89" s="157"/>
      <c r="T89" s="157"/>
      <c r="U89" s="157"/>
      <c r="V89" s="157"/>
      <c r="W89" s="157"/>
      <c r="X89" s="172"/>
    </row>
    <row r="90" spans="2:24" ht="14.25" customHeight="1">
      <c r="B90" s="66" t="s">
        <v>38</v>
      </c>
      <c r="C90" s="67"/>
      <c r="D90" s="159">
        <v>10602</v>
      </c>
      <c r="E90" s="39">
        <f>ROUND(D90/$AB$40,0)</f>
        <v>10425</v>
      </c>
      <c r="F90" s="157">
        <v>12080</v>
      </c>
      <c r="G90" s="39">
        <f>ROUND(F90/$AB$41,0)</f>
        <v>11979</v>
      </c>
      <c r="H90" s="157">
        <v>11440</v>
      </c>
      <c r="I90" s="39">
        <f>ROUND(H90/$AB$42,0)</f>
        <v>11538</v>
      </c>
      <c r="J90" s="157">
        <v>12370</v>
      </c>
      <c r="K90" s="82">
        <f>ROUND(J90/$AB$43,0)</f>
        <v>12392</v>
      </c>
      <c r="N90" s="66" t="s">
        <v>350</v>
      </c>
      <c r="O90" s="159"/>
      <c r="P90" s="157"/>
      <c r="Q90" s="157"/>
      <c r="R90" s="157"/>
      <c r="S90" s="157" t="s">
        <v>139</v>
      </c>
      <c r="T90" s="157" t="s">
        <v>139</v>
      </c>
      <c r="U90" s="157"/>
      <c r="V90" s="157"/>
      <c r="W90" s="157"/>
      <c r="X90" s="172"/>
    </row>
    <row r="91" spans="2:24" ht="14.25" customHeight="1">
      <c r="B91" s="66" t="s">
        <v>39</v>
      </c>
      <c r="C91" s="67"/>
      <c r="D91" s="159">
        <v>910</v>
      </c>
      <c r="E91" s="39">
        <f>ROUND(D91/$AB$40,0)</f>
        <v>895</v>
      </c>
      <c r="F91" s="157">
        <v>1120</v>
      </c>
      <c r="G91" s="39">
        <f>ROUND(F91/$AB$41,0)</f>
        <v>1111</v>
      </c>
      <c r="H91" s="157">
        <v>713</v>
      </c>
      <c r="I91" s="39">
        <f>ROUND(H91/$AB$42,0)</f>
        <v>719</v>
      </c>
      <c r="J91" s="157">
        <v>478</v>
      </c>
      <c r="K91" s="82">
        <f>ROUND(J91/$AB$43,0)</f>
        <v>479</v>
      </c>
      <c r="N91" s="66"/>
      <c r="O91" s="159"/>
      <c r="P91" s="157"/>
      <c r="Q91" s="157"/>
      <c r="R91" s="157"/>
      <c r="S91" s="157"/>
      <c r="T91" s="157"/>
      <c r="U91" s="157"/>
      <c r="V91" s="157"/>
      <c r="W91" s="157"/>
      <c r="X91" s="172"/>
    </row>
    <row r="92" spans="2:24" ht="14.25" customHeight="1">
      <c r="B92" s="66" t="s">
        <v>40</v>
      </c>
      <c r="C92" s="67"/>
      <c r="D92" s="159" t="s">
        <v>331</v>
      </c>
      <c r="E92" s="157" t="s">
        <v>138</v>
      </c>
      <c r="F92" s="157" t="s">
        <v>139</v>
      </c>
      <c r="G92" s="155" t="s">
        <v>139</v>
      </c>
      <c r="H92" s="157" t="s">
        <v>139</v>
      </c>
      <c r="I92" s="157" t="s">
        <v>139</v>
      </c>
      <c r="J92" s="157" t="s">
        <v>139</v>
      </c>
      <c r="K92" s="172" t="s">
        <v>139</v>
      </c>
      <c r="N92" s="66"/>
      <c r="O92" s="159"/>
      <c r="P92" s="157"/>
      <c r="Q92" s="157"/>
      <c r="R92" s="157"/>
      <c r="S92" s="157"/>
      <c r="T92" s="157"/>
      <c r="U92" s="157"/>
      <c r="V92" s="157"/>
      <c r="W92" s="157"/>
      <c r="X92" s="172"/>
    </row>
    <row r="93" spans="2:24" ht="14.25" customHeight="1">
      <c r="B93" s="66" t="s">
        <v>41</v>
      </c>
      <c r="C93" s="67"/>
      <c r="D93" s="159">
        <v>2722</v>
      </c>
      <c r="E93" s="39">
        <f>ROUND(D93/$AB$40,0)</f>
        <v>2676</v>
      </c>
      <c r="F93" s="157">
        <v>2837</v>
      </c>
      <c r="G93" s="39">
        <f>ROUND(F93/$AB$41,0)</f>
        <v>2813</v>
      </c>
      <c r="H93" s="157">
        <v>2987</v>
      </c>
      <c r="I93" s="39">
        <f>ROUND(H93/$AB$42,0)</f>
        <v>3013</v>
      </c>
      <c r="J93" s="157">
        <v>3184</v>
      </c>
      <c r="K93" s="82">
        <f>ROUND(J93/$AB$43,0)</f>
        <v>3190</v>
      </c>
      <c r="N93" s="66"/>
      <c r="O93" s="159"/>
      <c r="P93" s="157"/>
      <c r="Q93" s="119"/>
      <c r="R93" s="119"/>
      <c r="S93" s="119"/>
      <c r="T93" s="157"/>
      <c r="U93" s="157"/>
      <c r="V93" s="155"/>
      <c r="W93" s="157"/>
      <c r="X93" s="172"/>
    </row>
    <row r="94" spans="2:24" ht="14.25" customHeight="1">
      <c r="B94" s="66" t="s">
        <v>42</v>
      </c>
      <c r="C94" s="67"/>
      <c r="D94" s="159" t="s">
        <v>133</v>
      </c>
      <c r="E94" s="157" t="s">
        <v>133</v>
      </c>
      <c r="F94" s="157" t="s">
        <v>133</v>
      </c>
      <c r="G94" s="155" t="s">
        <v>125</v>
      </c>
      <c r="H94" s="157" t="s">
        <v>125</v>
      </c>
      <c r="I94" s="157" t="s">
        <v>133</v>
      </c>
      <c r="J94" s="157" t="s">
        <v>139</v>
      </c>
      <c r="K94" s="172" t="s">
        <v>139</v>
      </c>
      <c r="N94" s="66"/>
      <c r="O94" s="159"/>
      <c r="P94" s="157"/>
      <c r="Q94" s="119"/>
      <c r="R94" s="119"/>
      <c r="S94" s="119"/>
      <c r="T94" s="157"/>
      <c r="U94" s="157"/>
      <c r="V94" s="155"/>
      <c r="W94" s="157"/>
      <c r="X94" s="172"/>
    </row>
    <row r="95" spans="2:24" ht="14.25" customHeight="1">
      <c r="B95" s="66"/>
      <c r="C95" s="67"/>
      <c r="D95" s="159"/>
      <c r="E95" s="39"/>
      <c r="F95" s="157"/>
      <c r="G95" s="37"/>
      <c r="H95" s="157"/>
      <c r="I95" s="39"/>
      <c r="J95" s="157"/>
      <c r="K95" s="82"/>
      <c r="N95" s="66"/>
      <c r="O95" s="159"/>
      <c r="P95" s="157"/>
      <c r="Q95" s="119"/>
      <c r="R95" s="119"/>
      <c r="S95" s="119"/>
      <c r="T95" s="157"/>
      <c r="U95" s="157"/>
      <c r="V95" s="155"/>
      <c r="W95" s="157"/>
      <c r="X95" s="172"/>
    </row>
    <row r="96" spans="2:24" ht="14.25" customHeight="1">
      <c r="B96" s="68" t="s">
        <v>43</v>
      </c>
      <c r="C96" s="69"/>
      <c r="D96" s="160">
        <v>74</v>
      </c>
      <c r="E96" s="55">
        <f>ROUND(D96/$AB$40,0)</f>
        <v>73</v>
      </c>
      <c r="F96" s="161">
        <v>78</v>
      </c>
      <c r="G96" s="55">
        <f>ROUND(F96/$AB$41,0)</f>
        <v>77</v>
      </c>
      <c r="H96" s="161">
        <v>83</v>
      </c>
      <c r="I96" s="55">
        <f>ROUND(H96/$AB$42,0)</f>
        <v>84</v>
      </c>
      <c r="J96" s="161">
        <v>253</v>
      </c>
      <c r="K96" s="84">
        <f>ROUND(J96/$AB$43,0)</f>
        <v>253</v>
      </c>
      <c r="N96" s="68"/>
      <c r="O96" s="160"/>
      <c r="P96" s="161"/>
      <c r="Q96" s="164"/>
      <c r="R96" s="164"/>
      <c r="S96" s="164"/>
      <c r="T96" s="161"/>
      <c r="U96" s="161"/>
      <c r="V96" s="324"/>
      <c r="W96" s="161"/>
      <c r="X96" s="175"/>
    </row>
    <row r="97" spans="2:24" ht="14.25" customHeight="1">
      <c r="B97" s="1" t="s">
        <v>501</v>
      </c>
      <c r="J97" s="70" t="s">
        <v>76</v>
      </c>
      <c r="N97" s="1" t="s">
        <v>501</v>
      </c>
      <c r="X97" s="71" t="s">
        <v>361</v>
      </c>
    </row>
    <row r="98" spans="2:24" ht="14.25" customHeight="1">
      <c r="B98" s="1" t="s">
        <v>422</v>
      </c>
      <c r="N98" s="1" t="s">
        <v>423</v>
      </c>
    </row>
    <row r="99" spans="2:24" ht="14.25" customHeight="1">
      <c r="N99" s="1" t="s">
        <v>437</v>
      </c>
    </row>
    <row r="100" spans="2:24" ht="14.25" customHeight="1"/>
    <row r="101" spans="2:24" ht="14.25" customHeight="1">
      <c r="K101" s="71" t="s">
        <v>46</v>
      </c>
    </row>
    <row r="102" spans="2:24" ht="14.25" customHeight="1">
      <c r="B102" s="652" t="s">
        <v>45</v>
      </c>
      <c r="C102" s="707"/>
      <c r="D102" s="72" t="s">
        <v>73</v>
      </c>
      <c r="E102" s="73"/>
      <c r="F102" s="74" t="s">
        <v>74</v>
      </c>
      <c r="G102" s="115"/>
      <c r="H102" s="74" t="s">
        <v>75</v>
      </c>
      <c r="I102" s="73"/>
      <c r="J102" s="74" t="s">
        <v>109</v>
      </c>
      <c r="K102" s="75"/>
    </row>
    <row r="103" spans="2:24" ht="14.25" customHeight="1">
      <c r="B103" s="708"/>
      <c r="C103" s="709"/>
      <c r="D103" s="76" t="s">
        <v>44</v>
      </c>
      <c r="E103" s="77" t="s">
        <v>20</v>
      </c>
      <c r="F103" s="77" t="s">
        <v>44</v>
      </c>
      <c r="G103" s="329" t="s">
        <v>20</v>
      </c>
      <c r="H103" s="77" t="s">
        <v>44</v>
      </c>
      <c r="I103" s="77" t="s">
        <v>20</v>
      </c>
      <c r="J103" s="77" t="s">
        <v>44</v>
      </c>
      <c r="K103" s="78" t="s">
        <v>20</v>
      </c>
    </row>
    <row r="104" spans="2:24" ht="14.25" customHeight="1">
      <c r="B104" s="8" t="s">
        <v>22</v>
      </c>
      <c r="C104" s="59"/>
      <c r="D104" s="326">
        <v>28189</v>
      </c>
      <c r="E104" s="130">
        <f>ROUND(D104/$AB$44,0)</f>
        <v>28684</v>
      </c>
      <c r="F104" s="350">
        <v>30370</v>
      </c>
      <c r="G104" s="130">
        <f>ROUND(F104/$AB$45,0)</f>
        <v>31334</v>
      </c>
      <c r="H104" s="350">
        <v>34916</v>
      </c>
      <c r="I104" s="130">
        <f>ROUND(H104/$AB$46,0)</f>
        <v>36021</v>
      </c>
      <c r="J104" s="350">
        <v>29824</v>
      </c>
      <c r="K104" s="87">
        <f>ROUND(J104/$AB$47,0)</f>
        <v>31496</v>
      </c>
    </row>
    <row r="105" spans="2:24" ht="14.25" customHeight="1">
      <c r="B105" s="66"/>
      <c r="C105" s="67"/>
      <c r="D105" s="159"/>
      <c r="E105" s="39"/>
      <c r="F105" s="157"/>
      <c r="G105" s="39"/>
      <c r="H105" s="157"/>
      <c r="I105" s="39"/>
      <c r="J105" s="157"/>
      <c r="K105" s="172"/>
    </row>
    <row r="106" spans="2:24" ht="14.25" customHeight="1">
      <c r="B106" s="66" t="s">
        <v>23</v>
      </c>
      <c r="C106" s="67"/>
      <c r="D106" s="159">
        <v>3205</v>
      </c>
      <c r="E106" s="39">
        <f>ROUND(D106/$AB$44,0)</f>
        <v>3261</v>
      </c>
      <c r="F106" s="157">
        <v>3839</v>
      </c>
      <c r="G106" s="39">
        <f>ROUND(F106/$AB$45,0)</f>
        <v>3961</v>
      </c>
      <c r="H106" s="157">
        <v>3647</v>
      </c>
      <c r="I106" s="39">
        <f>ROUND(H106/$AB$46,0)</f>
        <v>3762</v>
      </c>
      <c r="J106" s="157">
        <v>2509</v>
      </c>
      <c r="K106" s="82">
        <f>ROUND(J106/$AB$47,0)</f>
        <v>2650</v>
      </c>
    </row>
    <row r="107" spans="2:24" ht="14.25" customHeight="1">
      <c r="B107" s="66" t="s">
        <v>24</v>
      </c>
      <c r="C107" s="67"/>
      <c r="D107" s="159" t="s">
        <v>139</v>
      </c>
      <c r="E107" s="157" t="s">
        <v>139</v>
      </c>
      <c r="F107" s="157" t="s">
        <v>139</v>
      </c>
      <c r="G107" s="157" t="s">
        <v>139</v>
      </c>
      <c r="H107" s="157" t="s">
        <v>139</v>
      </c>
      <c r="I107" s="157" t="s">
        <v>139</v>
      </c>
      <c r="J107" s="157" t="s">
        <v>139</v>
      </c>
      <c r="K107" s="172" t="s">
        <v>139</v>
      </c>
    </row>
    <row r="108" spans="2:24" ht="14.25" customHeight="1">
      <c r="B108" s="66" t="s">
        <v>25</v>
      </c>
      <c r="C108" s="67"/>
      <c r="D108" s="159" t="s">
        <v>139</v>
      </c>
      <c r="E108" s="157" t="s">
        <v>139</v>
      </c>
      <c r="F108" s="157" t="s">
        <v>139</v>
      </c>
      <c r="G108" s="157" t="s">
        <v>139</v>
      </c>
      <c r="H108" s="157" t="s">
        <v>139</v>
      </c>
      <c r="I108" s="157" t="s">
        <v>139</v>
      </c>
      <c r="J108" s="157" t="s">
        <v>139</v>
      </c>
      <c r="K108" s="172" t="s">
        <v>139</v>
      </c>
    </row>
    <row r="109" spans="2:24" ht="14.25" customHeight="1">
      <c r="B109" s="66" t="s">
        <v>416</v>
      </c>
      <c r="C109" s="67"/>
      <c r="D109" s="159" t="s">
        <v>139</v>
      </c>
      <c r="E109" s="157" t="s">
        <v>139</v>
      </c>
      <c r="F109" s="157" t="s">
        <v>139</v>
      </c>
      <c r="G109" s="157" t="s">
        <v>139</v>
      </c>
      <c r="H109" s="157" t="s">
        <v>139</v>
      </c>
      <c r="I109" s="157" t="s">
        <v>139</v>
      </c>
      <c r="J109" s="157" t="s">
        <v>139</v>
      </c>
      <c r="K109" s="172" t="s">
        <v>139</v>
      </c>
    </row>
    <row r="110" spans="2:24" ht="14.25" customHeight="1">
      <c r="B110" s="66" t="s">
        <v>417</v>
      </c>
      <c r="C110" s="67"/>
      <c r="D110" s="159">
        <v>1097</v>
      </c>
      <c r="E110" s="39">
        <f>ROUND(D110/$AB$44,0)</f>
        <v>1116</v>
      </c>
      <c r="F110" s="157">
        <v>1086</v>
      </c>
      <c r="G110" s="39">
        <f>ROUND(F110/$AB$45,0)</f>
        <v>1120</v>
      </c>
      <c r="H110" s="157">
        <v>1105</v>
      </c>
      <c r="I110" s="39">
        <f>ROUND(H110/$AB$46,0)</f>
        <v>1140</v>
      </c>
      <c r="J110" s="157" t="s">
        <v>139</v>
      </c>
      <c r="K110" s="172" t="s">
        <v>139</v>
      </c>
    </row>
    <row r="111" spans="2:24" ht="14.25" customHeight="1">
      <c r="B111" s="66"/>
      <c r="C111" s="67"/>
      <c r="D111" s="159"/>
      <c r="E111" s="39"/>
      <c r="F111" s="157"/>
      <c r="G111" s="39"/>
      <c r="H111" s="157"/>
      <c r="I111" s="39"/>
      <c r="J111" s="157"/>
      <c r="K111" s="172"/>
    </row>
    <row r="112" spans="2:24" ht="14.25" customHeight="1">
      <c r="B112" s="66" t="s">
        <v>418</v>
      </c>
      <c r="C112" s="67"/>
      <c r="D112" s="159">
        <v>206</v>
      </c>
      <c r="E112" s="39">
        <f>ROUND(D112/$AB$44,0)</f>
        <v>210</v>
      </c>
      <c r="F112" s="157">
        <v>193</v>
      </c>
      <c r="G112" s="39">
        <f>ROUND(F112/$AB$45,0)</f>
        <v>199</v>
      </c>
      <c r="H112" s="157">
        <v>191</v>
      </c>
      <c r="I112" s="39">
        <f>ROUND(H112/$AB$46,0)</f>
        <v>197</v>
      </c>
      <c r="J112" s="157" t="s">
        <v>139</v>
      </c>
      <c r="K112" s="172" t="s">
        <v>139</v>
      </c>
    </row>
    <row r="113" spans="2:11" ht="14.25" customHeight="1">
      <c r="B113" s="66" t="s">
        <v>419</v>
      </c>
      <c r="C113" s="67"/>
      <c r="D113" s="159" t="s">
        <v>139</v>
      </c>
      <c r="E113" s="157" t="s">
        <v>139</v>
      </c>
      <c r="F113" s="157" t="s">
        <v>139</v>
      </c>
      <c r="G113" s="157" t="s">
        <v>139</v>
      </c>
      <c r="H113" s="157" t="s">
        <v>139</v>
      </c>
      <c r="I113" s="157" t="s">
        <v>139</v>
      </c>
      <c r="J113" s="157" t="s">
        <v>139</v>
      </c>
      <c r="K113" s="172" t="s">
        <v>139</v>
      </c>
    </row>
    <row r="114" spans="2:11" ht="14.25" customHeight="1">
      <c r="B114" s="66" t="s">
        <v>30</v>
      </c>
      <c r="C114" s="67"/>
      <c r="D114" s="159" t="s">
        <v>139</v>
      </c>
      <c r="E114" s="157" t="s">
        <v>139</v>
      </c>
      <c r="F114" s="157" t="s">
        <v>139</v>
      </c>
      <c r="G114" s="157" t="s">
        <v>139</v>
      </c>
      <c r="H114" s="157" t="s">
        <v>139</v>
      </c>
      <c r="I114" s="157" t="s">
        <v>139</v>
      </c>
      <c r="J114" s="157" t="s">
        <v>139</v>
      </c>
      <c r="K114" s="172" t="s">
        <v>139</v>
      </c>
    </row>
    <row r="115" spans="2:11" ht="14.25" customHeight="1">
      <c r="B115" s="66" t="s">
        <v>420</v>
      </c>
      <c r="C115" s="67"/>
      <c r="D115" s="159" t="s">
        <v>139</v>
      </c>
      <c r="E115" s="157" t="s">
        <v>139</v>
      </c>
      <c r="F115" s="157" t="s">
        <v>139</v>
      </c>
      <c r="G115" s="157" t="s">
        <v>139</v>
      </c>
      <c r="H115" s="157" t="s">
        <v>139</v>
      </c>
      <c r="I115" s="157" t="s">
        <v>139</v>
      </c>
      <c r="J115" s="157" t="s">
        <v>139</v>
      </c>
      <c r="K115" s="172" t="s">
        <v>139</v>
      </c>
    </row>
    <row r="116" spans="2:11" ht="14.25" customHeight="1">
      <c r="B116" s="66" t="s">
        <v>110</v>
      </c>
      <c r="C116" s="67"/>
      <c r="D116" s="159">
        <v>2985</v>
      </c>
      <c r="E116" s="39">
        <f>ROUND(D116/$AB$44,0)</f>
        <v>3037</v>
      </c>
      <c r="F116" s="157">
        <v>3427</v>
      </c>
      <c r="G116" s="39">
        <f>ROUND(F116/$AB$45,0)</f>
        <v>3536</v>
      </c>
      <c r="H116" s="157">
        <v>3134</v>
      </c>
      <c r="I116" s="39">
        <f>ROUND(H116/$AB$46,0)</f>
        <v>3233</v>
      </c>
      <c r="J116" s="157">
        <v>2845</v>
      </c>
      <c r="K116" s="82">
        <f>ROUND(J116/$AB$47,0)</f>
        <v>3004</v>
      </c>
    </row>
    <row r="117" spans="2:11" ht="14.25" customHeight="1">
      <c r="B117" s="66"/>
      <c r="C117" s="67"/>
      <c r="D117" s="159"/>
      <c r="E117" s="39"/>
      <c r="F117" s="157"/>
      <c r="G117" s="39"/>
      <c r="H117" s="157"/>
      <c r="I117" s="39"/>
      <c r="J117" s="157"/>
      <c r="K117" s="172"/>
    </row>
    <row r="118" spans="2:11" ht="14.25" customHeight="1">
      <c r="B118" s="66" t="s">
        <v>421</v>
      </c>
      <c r="C118" s="67"/>
      <c r="D118" s="159" t="s">
        <v>139</v>
      </c>
      <c r="E118" s="157" t="s">
        <v>139</v>
      </c>
      <c r="F118" s="157">
        <v>268</v>
      </c>
      <c r="G118" s="39">
        <f>ROUND(F118/$AB$45,0)</f>
        <v>277</v>
      </c>
      <c r="H118" s="157" t="s">
        <v>139</v>
      </c>
      <c r="I118" s="157" t="s">
        <v>139</v>
      </c>
      <c r="J118" s="157" t="s">
        <v>139</v>
      </c>
      <c r="K118" s="172" t="s">
        <v>139</v>
      </c>
    </row>
    <row r="119" spans="2:11" ht="14.25" customHeight="1">
      <c r="B119" s="66" t="s">
        <v>34</v>
      </c>
      <c r="C119" s="67"/>
      <c r="D119" s="159">
        <v>631</v>
      </c>
      <c r="E119" s="39">
        <f>ROUND(D119/$AB$44,0)</f>
        <v>642</v>
      </c>
      <c r="F119" s="157">
        <v>657</v>
      </c>
      <c r="G119" s="39">
        <f>ROUND(F119/$AB$45,0)</f>
        <v>678</v>
      </c>
      <c r="H119" s="157">
        <v>660</v>
      </c>
      <c r="I119" s="39">
        <f>ROUND(H119/$AB$46,0)</f>
        <v>681</v>
      </c>
      <c r="J119" s="157" t="s">
        <v>139</v>
      </c>
      <c r="K119" s="172" t="s">
        <v>139</v>
      </c>
    </row>
    <row r="120" spans="2:11" ht="14.25" customHeight="1">
      <c r="B120" s="66" t="s">
        <v>35</v>
      </c>
      <c r="C120" s="67"/>
      <c r="D120" s="159" t="s">
        <v>139</v>
      </c>
      <c r="E120" s="157" t="s">
        <v>139</v>
      </c>
      <c r="F120" s="157" t="s">
        <v>139</v>
      </c>
      <c r="G120" s="157" t="s">
        <v>139</v>
      </c>
      <c r="H120" s="157" t="s">
        <v>139</v>
      </c>
      <c r="I120" s="157" t="s">
        <v>139</v>
      </c>
      <c r="J120" s="157" t="s">
        <v>139</v>
      </c>
      <c r="K120" s="172" t="s">
        <v>139</v>
      </c>
    </row>
    <row r="121" spans="2:11" ht="14.25" customHeight="1">
      <c r="B121" s="66" t="s">
        <v>36</v>
      </c>
      <c r="C121" s="67"/>
      <c r="D121" s="159" t="s">
        <v>139</v>
      </c>
      <c r="E121" s="157" t="s">
        <v>139</v>
      </c>
      <c r="F121" s="157">
        <v>308</v>
      </c>
      <c r="G121" s="39">
        <f>ROUND(F121/$AB$45,0)</f>
        <v>318</v>
      </c>
      <c r="H121" s="157" t="s">
        <v>139</v>
      </c>
      <c r="I121" s="157" t="s">
        <v>139</v>
      </c>
      <c r="J121" s="157" t="s">
        <v>139</v>
      </c>
      <c r="K121" s="172" t="s">
        <v>139</v>
      </c>
    </row>
    <row r="122" spans="2:11" ht="14.25" customHeight="1">
      <c r="B122" s="66" t="s">
        <v>37</v>
      </c>
      <c r="C122" s="67"/>
      <c r="D122" s="159">
        <v>2503</v>
      </c>
      <c r="E122" s="39">
        <f>ROUND(D122/$AB$44,0)</f>
        <v>2547</v>
      </c>
      <c r="F122" s="157">
        <v>2366</v>
      </c>
      <c r="G122" s="39">
        <f>ROUND(F122/$AB$45,0)</f>
        <v>2441</v>
      </c>
      <c r="H122" s="157">
        <v>2364</v>
      </c>
      <c r="I122" s="39">
        <f>ROUND(H122/$AB$46,0)</f>
        <v>2439</v>
      </c>
      <c r="J122" s="157">
        <v>1840</v>
      </c>
      <c r="K122" s="82">
        <f>ROUND(J122/$AB$47,0)</f>
        <v>1943</v>
      </c>
    </row>
    <row r="123" spans="2:11" ht="14.25" customHeight="1">
      <c r="B123" s="66"/>
      <c r="C123" s="67"/>
      <c r="D123" s="159"/>
      <c r="E123" s="39"/>
      <c r="F123" s="157"/>
      <c r="G123" s="39"/>
      <c r="H123" s="157"/>
      <c r="I123" s="39"/>
      <c r="J123" s="157"/>
      <c r="K123" s="172"/>
    </row>
    <row r="124" spans="2:11" ht="14.25" customHeight="1">
      <c r="B124" s="66" t="s">
        <v>38</v>
      </c>
      <c r="C124" s="67"/>
      <c r="D124" s="159">
        <v>11061</v>
      </c>
      <c r="E124" s="39">
        <f>ROUND(D124/$AB$44,0)</f>
        <v>11255</v>
      </c>
      <c r="F124" s="157">
        <v>10871</v>
      </c>
      <c r="G124" s="39">
        <f>ROUND(F124/$AB$45,0)</f>
        <v>11216</v>
      </c>
      <c r="H124" s="157">
        <v>12253</v>
      </c>
      <c r="I124" s="39">
        <f>ROUND(H124/$AB$46,0)</f>
        <v>12641</v>
      </c>
      <c r="J124" s="157">
        <v>10503</v>
      </c>
      <c r="K124" s="82">
        <f>ROUND(J124/$AB$47,0)</f>
        <v>11092</v>
      </c>
    </row>
    <row r="125" spans="2:11" ht="14.25" customHeight="1">
      <c r="B125" s="66" t="s">
        <v>39</v>
      </c>
      <c r="C125" s="67"/>
      <c r="D125" s="159">
        <v>364</v>
      </c>
      <c r="E125" s="39">
        <f>ROUND(D125/$AB$44,0)</f>
        <v>370</v>
      </c>
      <c r="F125" s="157">
        <v>550</v>
      </c>
      <c r="G125" s="39">
        <f>ROUND(F125/$AB$45,0)</f>
        <v>567</v>
      </c>
      <c r="H125" s="157">
        <v>712</v>
      </c>
      <c r="I125" s="39">
        <f>ROUND(H125/$AB$46,0)</f>
        <v>735</v>
      </c>
      <c r="J125" s="157">
        <v>664</v>
      </c>
      <c r="K125" s="82">
        <f>ROUND(J125/$AB$47,0)</f>
        <v>701</v>
      </c>
    </row>
    <row r="126" spans="2:11" ht="14.25" customHeight="1">
      <c r="B126" s="66" t="s">
        <v>40</v>
      </c>
      <c r="C126" s="67"/>
      <c r="D126" s="159" t="s">
        <v>139</v>
      </c>
      <c r="E126" s="157" t="s">
        <v>139</v>
      </c>
      <c r="F126" s="157" t="s">
        <v>139</v>
      </c>
      <c r="G126" s="157" t="s">
        <v>139</v>
      </c>
      <c r="H126" s="157" t="s">
        <v>139</v>
      </c>
      <c r="I126" s="157" t="s">
        <v>139</v>
      </c>
      <c r="J126" s="157" t="s">
        <v>139</v>
      </c>
      <c r="K126" s="172" t="s">
        <v>139</v>
      </c>
    </row>
    <row r="127" spans="2:11" ht="14.25" customHeight="1">
      <c r="B127" s="66" t="s">
        <v>41</v>
      </c>
      <c r="C127" s="67"/>
      <c r="D127" s="159">
        <v>5266</v>
      </c>
      <c r="E127" s="39">
        <f>ROUND(D127/$AB$44,0)</f>
        <v>5358</v>
      </c>
      <c r="F127" s="157">
        <v>6328</v>
      </c>
      <c r="G127" s="39">
        <f>ROUND(F127/$AB$45,0)</f>
        <v>6529</v>
      </c>
      <c r="H127" s="157" t="s">
        <v>139</v>
      </c>
      <c r="I127" s="157" t="s">
        <v>139</v>
      </c>
      <c r="J127" s="157">
        <v>8574</v>
      </c>
      <c r="K127" s="82">
        <f>ROUND(J127/$AB$47,0)</f>
        <v>9055</v>
      </c>
    </row>
    <row r="128" spans="2:11" ht="14.25" customHeight="1">
      <c r="B128" s="66" t="s">
        <v>42</v>
      </c>
      <c r="C128" s="67"/>
      <c r="D128" s="159" t="s">
        <v>139</v>
      </c>
      <c r="E128" s="157" t="s">
        <v>139</v>
      </c>
      <c r="F128" s="157" t="s">
        <v>139</v>
      </c>
      <c r="G128" s="157" t="s">
        <v>139</v>
      </c>
      <c r="H128" s="157" t="s">
        <v>139</v>
      </c>
      <c r="I128" s="157" t="s">
        <v>139</v>
      </c>
      <c r="J128" s="157" t="s">
        <v>139</v>
      </c>
      <c r="K128" s="172" t="s">
        <v>139</v>
      </c>
    </row>
    <row r="129" spans="2:24" ht="14.25" customHeight="1">
      <c r="B129" s="66"/>
      <c r="C129" s="67"/>
      <c r="D129" s="159"/>
      <c r="E129" s="39"/>
      <c r="F129" s="157"/>
      <c r="G129" s="39"/>
      <c r="H129" s="157"/>
      <c r="I129" s="39"/>
      <c r="J129" s="157"/>
      <c r="K129" s="172"/>
    </row>
    <row r="130" spans="2:24" ht="14.25" customHeight="1">
      <c r="B130" s="68" t="s">
        <v>43</v>
      </c>
      <c r="C130" s="69"/>
      <c r="D130" s="160">
        <v>94</v>
      </c>
      <c r="E130" s="55">
        <f>ROUND(D130/$AB$44,0)</f>
        <v>96</v>
      </c>
      <c r="F130" s="161" t="s">
        <v>160</v>
      </c>
      <c r="G130" s="161" t="s">
        <v>160</v>
      </c>
      <c r="H130" s="161" t="s">
        <v>160</v>
      </c>
      <c r="I130" s="161" t="s">
        <v>160</v>
      </c>
      <c r="J130" s="161" t="s">
        <v>160</v>
      </c>
      <c r="K130" s="175" t="s">
        <v>160</v>
      </c>
    </row>
    <row r="131" spans="2:24" ht="14.25" customHeight="1">
      <c r="B131" s="1" t="s">
        <v>501</v>
      </c>
      <c r="H131" s="30"/>
      <c r="J131" s="70" t="s">
        <v>76</v>
      </c>
    </row>
    <row r="132" spans="2:24" ht="14.25" customHeight="1">
      <c r="B132" s="1" t="s">
        <v>423</v>
      </c>
      <c r="H132" s="30"/>
    </row>
    <row r="133" spans="2:24" ht="14.25" customHeight="1">
      <c r="H133" s="30"/>
    </row>
    <row r="134" spans="2:24" ht="14.25" customHeight="1">
      <c r="H134" s="30"/>
    </row>
    <row r="135" spans="2:24" ht="14.25" customHeight="1">
      <c r="H135" s="30"/>
      <c r="K135" s="71" t="s">
        <v>46</v>
      </c>
    </row>
    <row r="136" spans="2:24" ht="14.25" customHeight="1">
      <c r="B136" s="652" t="s">
        <v>45</v>
      </c>
      <c r="C136" s="707"/>
      <c r="D136" s="167" t="s">
        <v>113</v>
      </c>
      <c r="E136" s="115"/>
      <c r="F136" s="115"/>
      <c r="G136" s="115"/>
      <c r="H136" s="116" t="s">
        <v>114</v>
      </c>
      <c r="I136" s="5"/>
      <c r="J136" s="115"/>
      <c r="K136" s="75"/>
      <c r="L136" s="70"/>
      <c r="M136" s="70"/>
      <c r="N136" s="70"/>
      <c r="U136" s="1"/>
      <c r="V136" s="1"/>
      <c r="W136" s="1"/>
      <c r="X136" s="1"/>
    </row>
    <row r="137" spans="2:24" ht="14.25" customHeight="1">
      <c r="B137" s="708"/>
      <c r="C137" s="709"/>
      <c r="D137" s="344" t="s">
        <v>44</v>
      </c>
      <c r="E137" s="345"/>
      <c r="F137" s="168" t="s">
        <v>20</v>
      </c>
      <c r="G137" s="345"/>
      <c r="H137" s="347" t="s">
        <v>44</v>
      </c>
      <c r="I137" s="356"/>
      <c r="J137" s="168" t="s">
        <v>20</v>
      </c>
      <c r="K137" s="346"/>
      <c r="L137" s="70"/>
      <c r="M137" s="70"/>
      <c r="N137" s="70"/>
      <c r="U137" s="1"/>
      <c r="V137" s="1"/>
      <c r="W137" s="1"/>
      <c r="X137" s="1"/>
    </row>
    <row r="138" spans="2:24" ht="14.25" customHeight="1">
      <c r="B138" s="8" t="s">
        <v>22</v>
      </c>
      <c r="C138" s="59"/>
      <c r="D138" s="165"/>
      <c r="E138" s="361">
        <v>20185.34</v>
      </c>
      <c r="F138" s="166"/>
      <c r="G138" s="348">
        <f>ROUND(E138/$AB$48,0)</f>
        <v>21761</v>
      </c>
      <c r="H138" s="166"/>
      <c r="I138" s="361">
        <v>21893.41</v>
      </c>
      <c r="J138" s="358"/>
      <c r="K138" s="328">
        <f>ROUND(I138/$AB$49,0)</f>
        <v>23812</v>
      </c>
      <c r="L138" s="70"/>
      <c r="M138" s="70"/>
      <c r="N138" s="70"/>
      <c r="U138" s="1"/>
      <c r="V138" s="1"/>
      <c r="W138" s="1"/>
      <c r="X138" s="1"/>
    </row>
    <row r="139" spans="2:24" ht="14.25" customHeight="1">
      <c r="B139" s="66"/>
      <c r="C139" s="67"/>
      <c r="D139" s="137"/>
      <c r="E139" s="119"/>
      <c r="F139" s="37"/>
      <c r="G139" s="119"/>
      <c r="H139" s="37"/>
      <c r="I139" s="119"/>
      <c r="J139" s="359"/>
      <c r="K139" s="158"/>
      <c r="L139" s="70"/>
      <c r="M139" s="70"/>
      <c r="N139" s="70"/>
      <c r="U139" s="1"/>
      <c r="V139" s="1"/>
      <c r="W139" s="1"/>
      <c r="X139" s="1"/>
    </row>
    <row r="140" spans="2:24" ht="14.25" customHeight="1">
      <c r="B140" s="66" t="s">
        <v>142</v>
      </c>
      <c r="C140" s="67"/>
      <c r="D140" s="137"/>
      <c r="E140" s="119">
        <v>2461.8000000000002</v>
      </c>
      <c r="F140" s="37"/>
      <c r="G140" s="40">
        <f>ROUND(E140/$AB$48,0)</f>
        <v>2654</v>
      </c>
      <c r="H140" s="37"/>
      <c r="I140" s="119">
        <v>3418.26</v>
      </c>
      <c r="J140" s="359"/>
      <c r="K140" s="43">
        <f>ROUND(I140/$AB$49,0)</f>
        <v>3718</v>
      </c>
      <c r="L140" s="70"/>
      <c r="M140" s="70"/>
      <c r="N140" s="70"/>
      <c r="U140" s="1"/>
      <c r="V140" s="1"/>
      <c r="W140" s="1"/>
      <c r="X140" s="1"/>
    </row>
    <row r="141" spans="2:24" ht="14.25" customHeight="1">
      <c r="B141" s="66" t="s">
        <v>143</v>
      </c>
      <c r="C141" s="67"/>
      <c r="D141" s="137"/>
      <c r="E141" s="119" t="s">
        <v>133</v>
      </c>
      <c r="F141" s="37"/>
      <c r="G141" s="119" t="s">
        <v>133</v>
      </c>
      <c r="H141" s="37"/>
      <c r="I141" s="119" t="s">
        <v>125</v>
      </c>
      <c r="J141" s="359"/>
      <c r="K141" s="158" t="s">
        <v>125</v>
      </c>
      <c r="L141" s="70"/>
      <c r="M141" s="70"/>
      <c r="N141" s="70"/>
      <c r="U141" s="1"/>
      <c r="V141" s="1"/>
      <c r="W141" s="1"/>
      <c r="X141" s="1"/>
    </row>
    <row r="142" spans="2:24" ht="14.25" customHeight="1">
      <c r="B142" s="66" t="s">
        <v>144</v>
      </c>
      <c r="C142" s="67"/>
      <c r="D142" s="137"/>
      <c r="E142" s="119" t="s">
        <v>139</v>
      </c>
      <c r="F142" s="37"/>
      <c r="G142" s="119" t="s">
        <v>139</v>
      </c>
      <c r="H142" s="37"/>
      <c r="I142" s="119" t="s">
        <v>125</v>
      </c>
      <c r="J142" s="359"/>
      <c r="K142" s="158" t="s">
        <v>125</v>
      </c>
      <c r="L142" s="70"/>
      <c r="M142" s="70"/>
      <c r="N142" s="70"/>
      <c r="U142" s="1"/>
      <c r="V142" s="1"/>
      <c r="W142" s="1"/>
      <c r="X142" s="1"/>
    </row>
    <row r="143" spans="2:24" ht="14.25" customHeight="1">
      <c r="B143" s="66" t="s">
        <v>424</v>
      </c>
      <c r="C143" s="67"/>
      <c r="D143" s="137"/>
      <c r="E143" s="119" t="s">
        <v>139</v>
      </c>
      <c r="F143" s="37"/>
      <c r="G143" s="119" t="s">
        <v>139</v>
      </c>
      <c r="H143" s="37"/>
      <c r="I143" s="119" t="s">
        <v>133</v>
      </c>
      <c r="J143" s="359"/>
      <c r="K143" s="158" t="s">
        <v>133</v>
      </c>
      <c r="L143" s="70"/>
      <c r="M143" s="70"/>
      <c r="N143" s="70"/>
      <c r="U143" s="1"/>
      <c r="V143" s="1"/>
      <c r="W143" s="1"/>
      <c r="X143" s="1"/>
    </row>
    <row r="144" spans="2:24" ht="14.25" customHeight="1">
      <c r="B144" s="66" t="s">
        <v>425</v>
      </c>
      <c r="C144" s="67"/>
      <c r="D144" s="137"/>
      <c r="E144" s="119" t="s">
        <v>139</v>
      </c>
      <c r="F144" s="37"/>
      <c r="G144" s="119" t="s">
        <v>139</v>
      </c>
      <c r="H144" s="37"/>
      <c r="I144" s="119" t="s">
        <v>139</v>
      </c>
      <c r="J144" s="359"/>
      <c r="K144" s="158" t="s">
        <v>139</v>
      </c>
      <c r="L144" s="70"/>
      <c r="M144" s="70"/>
      <c r="N144" s="70"/>
      <c r="U144" s="1"/>
      <c r="V144" s="1"/>
      <c r="W144" s="1"/>
      <c r="X144" s="1"/>
    </row>
    <row r="145" spans="2:24" ht="14.25" customHeight="1">
      <c r="B145" s="66"/>
      <c r="C145" s="67"/>
      <c r="D145" s="137"/>
      <c r="E145" s="119"/>
      <c r="F145" s="37"/>
      <c r="G145" s="119"/>
      <c r="H145" s="37"/>
      <c r="I145" s="119"/>
      <c r="J145" s="359"/>
      <c r="K145" s="158"/>
      <c r="L145" s="70"/>
      <c r="M145" s="70"/>
      <c r="N145" s="70"/>
      <c r="U145" s="1"/>
      <c r="V145" s="1"/>
      <c r="W145" s="1"/>
      <c r="X145" s="1"/>
    </row>
    <row r="146" spans="2:24" ht="14.25" customHeight="1">
      <c r="B146" s="66" t="s">
        <v>150</v>
      </c>
      <c r="C146" s="67"/>
      <c r="D146" s="137"/>
      <c r="E146" s="119" t="s">
        <v>139</v>
      </c>
      <c r="F146" s="37"/>
      <c r="G146" s="119" t="s">
        <v>139</v>
      </c>
      <c r="H146" s="37"/>
      <c r="I146" s="119" t="s">
        <v>139</v>
      </c>
      <c r="J146" s="359"/>
      <c r="K146" s="158" t="s">
        <v>139</v>
      </c>
      <c r="L146" s="70"/>
      <c r="M146" s="70"/>
      <c r="N146" s="70"/>
      <c r="U146" s="1"/>
      <c r="V146" s="1"/>
      <c r="W146" s="1"/>
      <c r="X146" s="1"/>
    </row>
    <row r="147" spans="2:24" ht="14.25" customHeight="1">
      <c r="B147" s="66" t="s">
        <v>151</v>
      </c>
      <c r="C147" s="67"/>
      <c r="D147" s="137"/>
      <c r="E147" s="119">
        <v>2488.46</v>
      </c>
      <c r="F147" s="37"/>
      <c r="G147" s="40">
        <f>ROUND(E147/$AB$48,0)</f>
        <v>2683</v>
      </c>
      <c r="H147" s="37"/>
      <c r="I147" s="119">
        <v>2358.92</v>
      </c>
      <c r="J147" s="359"/>
      <c r="K147" s="43">
        <f>ROUND(I147/$AB$49,0)</f>
        <v>2566</v>
      </c>
      <c r="L147" s="70"/>
      <c r="M147" s="70"/>
      <c r="N147" s="70"/>
      <c r="U147" s="1"/>
      <c r="V147" s="1"/>
      <c r="W147" s="1"/>
      <c r="X147" s="1"/>
    </row>
    <row r="148" spans="2:24" ht="14.25" customHeight="1">
      <c r="B148" s="66" t="s">
        <v>426</v>
      </c>
      <c r="C148" s="67"/>
      <c r="D148" s="137"/>
      <c r="E148" s="119" t="s">
        <v>139</v>
      </c>
      <c r="F148" s="37"/>
      <c r="G148" s="119" t="s">
        <v>139</v>
      </c>
      <c r="H148" s="37"/>
      <c r="I148" s="119" t="s">
        <v>139</v>
      </c>
      <c r="J148" s="359"/>
      <c r="K148" s="158" t="s">
        <v>139</v>
      </c>
      <c r="L148" s="70"/>
      <c r="M148" s="70"/>
      <c r="N148" s="70"/>
      <c r="U148" s="1"/>
      <c r="V148" s="1"/>
      <c r="W148" s="1"/>
      <c r="X148" s="1"/>
    </row>
    <row r="149" spans="2:24" ht="14.25" customHeight="1">
      <c r="B149" s="66" t="s">
        <v>152</v>
      </c>
      <c r="C149" s="67"/>
      <c r="D149" s="137"/>
      <c r="E149" s="119" t="s">
        <v>139</v>
      </c>
      <c r="F149" s="37"/>
      <c r="G149" s="119" t="s">
        <v>139</v>
      </c>
      <c r="H149" s="37"/>
      <c r="I149" s="119" t="s">
        <v>139</v>
      </c>
      <c r="J149" s="359"/>
      <c r="K149" s="158" t="s">
        <v>139</v>
      </c>
      <c r="L149" s="70"/>
      <c r="M149" s="70"/>
      <c r="N149" s="70"/>
      <c r="U149" s="1"/>
      <c r="V149" s="1"/>
      <c r="W149" s="1"/>
      <c r="X149" s="1"/>
    </row>
    <row r="150" spans="2:24" ht="14.25" customHeight="1">
      <c r="B150" s="66" t="s">
        <v>153</v>
      </c>
      <c r="C150" s="67"/>
      <c r="D150" s="137"/>
      <c r="E150" s="119" t="s">
        <v>139</v>
      </c>
      <c r="F150" s="37"/>
      <c r="G150" s="119" t="s">
        <v>139</v>
      </c>
      <c r="H150" s="37"/>
      <c r="I150" s="119" t="s">
        <v>139</v>
      </c>
      <c r="J150" s="359"/>
      <c r="K150" s="158" t="s">
        <v>139</v>
      </c>
      <c r="L150" s="70"/>
      <c r="M150" s="70"/>
      <c r="N150" s="70"/>
      <c r="U150" s="1"/>
      <c r="V150" s="1"/>
      <c r="W150" s="1"/>
      <c r="X150" s="1"/>
    </row>
    <row r="151" spans="2:24" ht="14.25" customHeight="1">
      <c r="B151" s="66"/>
      <c r="C151" s="67"/>
      <c r="D151" s="137"/>
      <c r="E151" s="119"/>
      <c r="F151" s="37"/>
      <c r="G151" s="119"/>
      <c r="H151" s="37"/>
      <c r="I151" s="119"/>
      <c r="J151" s="359"/>
      <c r="K151" s="158"/>
      <c r="L151" s="70"/>
      <c r="M151" s="70"/>
      <c r="N151" s="70"/>
      <c r="U151" s="1"/>
      <c r="V151" s="1"/>
      <c r="W151" s="1"/>
      <c r="X151" s="1"/>
    </row>
    <row r="152" spans="2:24" ht="14.25" customHeight="1">
      <c r="B152" s="66" t="s">
        <v>145</v>
      </c>
      <c r="C152" s="67"/>
      <c r="D152" s="137"/>
      <c r="E152" s="119">
        <v>1781.26</v>
      </c>
      <c r="F152" s="37"/>
      <c r="G152" s="40">
        <f>ROUND(E152/$AB$48,0)</f>
        <v>1920</v>
      </c>
      <c r="H152" s="37"/>
      <c r="I152" s="119">
        <v>1677.44</v>
      </c>
      <c r="J152" s="359"/>
      <c r="K152" s="43">
        <f>ROUND(I152/$AB$49,0)</f>
        <v>1824</v>
      </c>
      <c r="L152" s="70"/>
      <c r="M152" s="70"/>
      <c r="N152" s="70"/>
      <c r="U152" s="1"/>
      <c r="V152" s="1"/>
      <c r="W152" s="1"/>
      <c r="X152" s="1"/>
    </row>
    <row r="153" spans="2:24" ht="14.25" customHeight="1">
      <c r="B153" s="66" t="s">
        <v>154</v>
      </c>
      <c r="C153" s="67"/>
      <c r="D153" s="137"/>
      <c r="E153" s="119">
        <v>8567.07</v>
      </c>
      <c r="F153" s="37"/>
      <c r="G153" s="40">
        <f>ROUND(E153/$AB$48,0)</f>
        <v>9236</v>
      </c>
      <c r="H153" s="37"/>
      <c r="I153" s="119">
        <v>8672.25</v>
      </c>
      <c r="J153" s="359"/>
      <c r="K153" s="43">
        <f>ROUND(I153/$AB$49,0)</f>
        <v>9432</v>
      </c>
      <c r="L153" s="70"/>
      <c r="M153" s="70"/>
      <c r="N153" s="70"/>
      <c r="U153" s="1"/>
      <c r="V153" s="1"/>
      <c r="W153" s="1"/>
      <c r="X153" s="1"/>
    </row>
    <row r="154" spans="2:24" ht="14.25" customHeight="1">
      <c r="B154" s="66" t="s">
        <v>146</v>
      </c>
      <c r="C154" s="67"/>
      <c r="D154" s="137"/>
      <c r="E154" s="119">
        <v>260.82</v>
      </c>
      <c r="F154" s="37"/>
      <c r="G154" s="40">
        <f>ROUND(E154/$AB$48,0)</f>
        <v>281</v>
      </c>
      <c r="H154" s="37"/>
      <c r="I154" s="119">
        <v>115.24</v>
      </c>
      <c r="J154" s="359"/>
      <c r="K154" s="43">
        <f>ROUND(I154/$AB$49,0)</f>
        <v>125</v>
      </c>
      <c r="L154" s="70"/>
      <c r="M154" s="70"/>
      <c r="N154" s="70"/>
      <c r="U154" s="1"/>
      <c r="V154" s="1"/>
      <c r="W154" s="1"/>
      <c r="X154" s="1"/>
    </row>
    <row r="155" spans="2:24" ht="14.25" customHeight="1">
      <c r="B155" s="66" t="s">
        <v>155</v>
      </c>
      <c r="C155" s="67"/>
      <c r="D155" s="137"/>
      <c r="E155" s="119" t="s">
        <v>139</v>
      </c>
      <c r="F155" s="37"/>
      <c r="G155" s="119" t="s">
        <v>139</v>
      </c>
      <c r="H155" s="37"/>
      <c r="I155" s="119">
        <v>288.79000000000002</v>
      </c>
      <c r="J155" s="359"/>
      <c r="K155" s="43">
        <f>ROUND(I155/$AB$49,0)</f>
        <v>314</v>
      </c>
      <c r="L155" s="70"/>
      <c r="M155" s="70"/>
      <c r="N155" s="70"/>
      <c r="U155" s="1"/>
      <c r="V155" s="1"/>
      <c r="W155" s="1"/>
      <c r="X155" s="1"/>
    </row>
    <row r="156" spans="2:24" ht="14.25" customHeight="1">
      <c r="B156" s="66" t="s">
        <v>156</v>
      </c>
      <c r="C156" s="67"/>
      <c r="D156" s="137"/>
      <c r="E156" s="119" t="s">
        <v>139</v>
      </c>
      <c r="F156" s="37"/>
      <c r="G156" s="119" t="s">
        <v>139</v>
      </c>
      <c r="H156" s="37"/>
      <c r="I156" s="119" t="s">
        <v>139</v>
      </c>
      <c r="J156" s="359"/>
      <c r="K156" s="158" t="s">
        <v>139</v>
      </c>
      <c r="L156" s="70"/>
      <c r="M156" s="70"/>
      <c r="N156" s="70"/>
      <c r="U156" s="1"/>
      <c r="V156" s="1"/>
      <c r="W156" s="1"/>
      <c r="X156" s="1"/>
    </row>
    <row r="157" spans="2:24" ht="14.25" customHeight="1">
      <c r="B157" s="66"/>
      <c r="C157" s="67"/>
      <c r="D157" s="137"/>
      <c r="E157" s="119"/>
      <c r="F157" s="37"/>
      <c r="G157" s="119"/>
      <c r="H157" s="37"/>
      <c r="I157" s="119"/>
      <c r="J157" s="359"/>
      <c r="K157" s="158"/>
      <c r="L157" s="70"/>
      <c r="M157" s="70"/>
      <c r="N157" s="70"/>
      <c r="U157" s="1"/>
      <c r="V157" s="1"/>
      <c r="W157" s="1"/>
      <c r="X157" s="1"/>
    </row>
    <row r="158" spans="2:24" ht="14.25" customHeight="1">
      <c r="B158" s="66" t="s">
        <v>147</v>
      </c>
      <c r="C158" s="67"/>
      <c r="D158" s="137"/>
      <c r="E158" s="119" t="s">
        <v>139</v>
      </c>
      <c r="F158" s="37"/>
      <c r="G158" s="119" t="s">
        <v>139</v>
      </c>
      <c r="H158" s="37"/>
      <c r="I158" s="119" t="s">
        <v>125</v>
      </c>
      <c r="J158" s="359"/>
      <c r="K158" s="158" t="s">
        <v>125</v>
      </c>
      <c r="L158" s="70"/>
      <c r="M158" s="70"/>
      <c r="N158" s="70"/>
      <c r="U158" s="1"/>
      <c r="V158" s="1"/>
      <c r="W158" s="1"/>
      <c r="X158" s="1"/>
    </row>
    <row r="159" spans="2:24" ht="14.25" customHeight="1">
      <c r="B159" s="66" t="s">
        <v>148</v>
      </c>
      <c r="C159" s="67"/>
      <c r="D159" s="137"/>
      <c r="E159" s="119" t="s">
        <v>139</v>
      </c>
      <c r="F159" s="37"/>
      <c r="G159" s="119" t="s">
        <v>139</v>
      </c>
      <c r="H159" s="37"/>
      <c r="I159" s="119" t="s">
        <v>125</v>
      </c>
      <c r="J159" s="359"/>
      <c r="K159" s="158" t="s">
        <v>125</v>
      </c>
      <c r="L159" s="70"/>
      <c r="M159" s="70"/>
      <c r="N159" s="70"/>
      <c r="U159" s="1"/>
      <c r="V159" s="1"/>
      <c r="W159" s="1"/>
      <c r="X159" s="1"/>
    </row>
    <row r="160" spans="2:24" ht="14.25" customHeight="1">
      <c r="B160" s="66"/>
      <c r="C160" s="67"/>
      <c r="D160" s="137"/>
      <c r="E160" s="119"/>
      <c r="F160" s="37"/>
      <c r="G160" s="119"/>
      <c r="H160" s="37"/>
      <c r="I160" s="119"/>
      <c r="J160" s="359"/>
      <c r="K160" s="158"/>
      <c r="L160" s="70"/>
      <c r="M160" s="70"/>
      <c r="N160" s="70"/>
      <c r="U160" s="1"/>
      <c r="V160" s="1"/>
      <c r="W160" s="1"/>
      <c r="X160" s="1"/>
    </row>
    <row r="161" spans="2:24" ht="14.25" customHeight="1">
      <c r="B161" s="66"/>
      <c r="C161" s="67"/>
      <c r="D161" s="137"/>
      <c r="E161" s="119"/>
      <c r="F161" s="37"/>
      <c r="G161" s="119"/>
      <c r="H161" s="37"/>
      <c r="I161" s="119"/>
      <c r="J161" s="359"/>
      <c r="K161" s="158"/>
      <c r="L161" s="70"/>
      <c r="M161" s="70"/>
      <c r="N161" s="70"/>
      <c r="U161" s="1"/>
      <c r="V161" s="1"/>
      <c r="W161" s="1"/>
      <c r="X161" s="1"/>
    </row>
    <row r="162" spans="2:24" ht="14.25" customHeight="1">
      <c r="B162" s="66"/>
      <c r="C162" s="67"/>
      <c r="D162" s="137"/>
      <c r="E162" s="119"/>
      <c r="F162" s="37"/>
      <c r="G162" s="119"/>
      <c r="H162" s="37"/>
      <c r="I162" s="40"/>
      <c r="J162" s="359"/>
      <c r="K162" s="158"/>
      <c r="L162" s="70"/>
      <c r="M162" s="70"/>
      <c r="N162" s="70"/>
      <c r="U162" s="1"/>
      <c r="V162" s="1"/>
      <c r="W162" s="1"/>
      <c r="X162" s="1"/>
    </row>
    <row r="163" spans="2:24" ht="14.25" customHeight="1">
      <c r="B163" s="68" t="s">
        <v>149</v>
      </c>
      <c r="C163" s="69"/>
      <c r="D163" s="138"/>
      <c r="E163" s="164" t="s">
        <v>139</v>
      </c>
      <c r="F163" s="54"/>
      <c r="G163" s="164" t="s">
        <v>139</v>
      </c>
      <c r="H163" s="54"/>
      <c r="I163" s="164" t="s">
        <v>139</v>
      </c>
      <c r="J163" s="360"/>
      <c r="K163" s="170" t="s">
        <v>139</v>
      </c>
      <c r="L163" s="70"/>
      <c r="M163" s="70"/>
      <c r="N163" s="70"/>
      <c r="U163" s="1"/>
      <c r="V163" s="1"/>
      <c r="W163" s="1"/>
      <c r="X163" s="1"/>
    </row>
    <row r="164" spans="2:24" ht="14.25" customHeight="1">
      <c r="B164" s="1" t="s">
        <v>501</v>
      </c>
      <c r="J164" s="70" t="s">
        <v>76</v>
      </c>
    </row>
    <row r="165" spans="2:24" ht="14.25" customHeight="1">
      <c r="B165" s="1" t="s">
        <v>423</v>
      </c>
    </row>
    <row r="166" spans="2:24" ht="14.25" customHeight="1"/>
    <row r="167" spans="2:24" ht="14.25" customHeight="1"/>
    <row r="168" spans="2:24" ht="14.25" customHeight="1"/>
    <row r="169" spans="2:24" ht="14.25" customHeight="1">
      <c r="K169" s="71" t="s">
        <v>46</v>
      </c>
    </row>
    <row r="170" spans="2:24" ht="14.25" customHeight="1">
      <c r="B170" s="652" t="s">
        <v>45</v>
      </c>
      <c r="C170" s="707"/>
      <c r="D170" s="72" t="s">
        <v>112</v>
      </c>
      <c r="E170" s="115"/>
      <c r="F170" s="116" t="s">
        <v>115</v>
      </c>
      <c r="G170" s="73"/>
      <c r="H170" s="74" t="s">
        <v>128</v>
      </c>
      <c r="I170" s="73"/>
      <c r="J170" s="74" t="s">
        <v>137</v>
      </c>
      <c r="K170" s="75"/>
    </row>
    <row r="171" spans="2:24" ht="14.25" customHeight="1">
      <c r="B171" s="708"/>
      <c r="C171" s="709"/>
      <c r="D171" s="76" t="s">
        <v>44</v>
      </c>
      <c r="E171" s="77" t="s">
        <v>20</v>
      </c>
      <c r="F171" s="77" t="s">
        <v>44</v>
      </c>
      <c r="G171" s="77" t="s">
        <v>20</v>
      </c>
      <c r="H171" s="77" t="s">
        <v>44</v>
      </c>
      <c r="I171" s="77" t="s">
        <v>20</v>
      </c>
      <c r="J171" s="77" t="s">
        <v>44</v>
      </c>
      <c r="K171" s="78" t="s">
        <v>20</v>
      </c>
    </row>
    <row r="172" spans="2:24" ht="14.25" customHeight="1">
      <c r="B172" s="8" t="s">
        <v>22</v>
      </c>
      <c r="C172" s="59"/>
      <c r="D172" s="357">
        <f>2259690/100</f>
        <v>22596.9</v>
      </c>
      <c r="E172" s="130">
        <f>ROUND(D172/$AB$50,0)</f>
        <v>24261</v>
      </c>
      <c r="F172" s="130">
        <f>2208886/100</f>
        <v>22088.86</v>
      </c>
      <c r="G172" s="130">
        <f>ROUND(F172/$AB$51,0)</f>
        <v>23339</v>
      </c>
      <c r="H172" s="130">
        <f>2427527/100</f>
        <v>24275.27</v>
      </c>
      <c r="I172" s="130">
        <f>ROUND(H172/$AB$52,0)</f>
        <v>25095</v>
      </c>
      <c r="J172" s="130">
        <f>2698153/100</f>
        <v>26981.53</v>
      </c>
      <c r="K172" s="87">
        <f>ROUND(J172/$AB$53,0)</f>
        <v>27418</v>
      </c>
    </row>
    <row r="173" spans="2:24" ht="14.25" customHeight="1">
      <c r="B173" s="66"/>
      <c r="C173" s="67"/>
      <c r="D173" s="81"/>
      <c r="E173" s="39"/>
      <c r="F173" s="39"/>
      <c r="G173" s="39"/>
      <c r="H173" s="39"/>
      <c r="I173" s="39"/>
      <c r="J173" s="39"/>
      <c r="K173" s="82"/>
    </row>
    <row r="174" spans="2:24" ht="14.25" customHeight="1">
      <c r="B174" s="66" t="s">
        <v>142</v>
      </c>
      <c r="C174" s="67"/>
      <c r="D174" s="81">
        <f>321027/100</f>
        <v>3210.27</v>
      </c>
      <c r="E174" s="39">
        <f>ROUND(D174/$AB$50,0)</f>
        <v>3447</v>
      </c>
      <c r="F174" s="39">
        <f>371130/100</f>
        <v>3711.3</v>
      </c>
      <c r="G174" s="39">
        <f>ROUND(F174/$AB$51,0)</f>
        <v>3921</v>
      </c>
      <c r="H174" s="39">
        <f>359272/100</f>
        <v>3592.72</v>
      </c>
      <c r="I174" s="39">
        <f>ROUND(H174/$AB$52,0)</f>
        <v>3714</v>
      </c>
      <c r="J174" s="39">
        <f>323713/100</f>
        <v>3237.13</v>
      </c>
      <c r="K174" s="82">
        <f>ROUND(J174/$AB$53,0)</f>
        <v>3289</v>
      </c>
    </row>
    <row r="175" spans="2:24" ht="14.25" customHeight="1">
      <c r="B175" s="66" t="s">
        <v>157</v>
      </c>
      <c r="C175" s="67"/>
      <c r="D175" s="159" t="s">
        <v>133</v>
      </c>
      <c r="E175" s="157" t="s">
        <v>133</v>
      </c>
      <c r="F175" s="157" t="s">
        <v>133</v>
      </c>
      <c r="G175" s="157" t="s">
        <v>133</v>
      </c>
      <c r="H175" s="157" t="s">
        <v>133</v>
      </c>
      <c r="I175" s="157" t="s">
        <v>133</v>
      </c>
      <c r="J175" s="157" t="s">
        <v>133</v>
      </c>
      <c r="K175" s="172" t="s">
        <v>133</v>
      </c>
    </row>
    <row r="176" spans="2:24" ht="14.25" customHeight="1">
      <c r="B176" s="66" t="s">
        <v>427</v>
      </c>
      <c r="C176" s="67"/>
      <c r="D176" s="159" t="s">
        <v>160</v>
      </c>
      <c r="E176" s="157" t="s">
        <v>160</v>
      </c>
      <c r="F176" s="157">
        <f>109579/100</f>
        <v>1095.79</v>
      </c>
      <c r="G176" s="39">
        <f>ROUND(F176/$AB$51,0)</f>
        <v>1158</v>
      </c>
      <c r="H176" s="39">
        <f>108090/100</f>
        <v>1080.9000000000001</v>
      </c>
      <c r="I176" s="39">
        <f>ROUND(H176/$AB$52,0)</f>
        <v>1117</v>
      </c>
      <c r="J176" s="39">
        <f>52579/100</f>
        <v>525.79</v>
      </c>
      <c r="K176" s="82">
        <f>ROUND(J176/$AB$53,0)</f>
        <v>534</v>
      </c>
    </row>
    <row r="177" spans="2:11" ht="14.25" customHeight="1">
      <c r="B177" s="66" t="s">
        <v>424</v>
      </c>
      <c r="C177" s="67"/>
      <c r="D177" s="159" t="s">
        <v>160</v>
      </c>
      <c r="E177" s="157" t="s">
        <v>160</v>
      </c>
      <c r="F177" s="157" t="s">
        <v>160</v>
      </c>
      <c r="G177" s="157" t="s">
        <v>160</v>
      </c>
      <c r="H177" s="157" t="s">
        <v>160</v>
      </c>
      <c r="I177" s="157" t="s">
        <v>160</v>
      </c>
      <c r="J177" s="157" t="s">
        <v>160</v>
      </c>
      <c r="K177" s="172" t="s">
        <v>160</v>
      </c>
    </row>
    <row r="178" spans="2:11" ht="14.25" customHeight="1">
      <c r="B178" s="66" t="s">
        <v>425</v>
      </c>
      <c r="C178" s="67"/>
      <c r="D178" s="159" t="s">
        <v>160</v>
      </c>
      <c r="E178" s="157" t="s">
        <v>160</v>
      </c>
      <c r="F178" s="157" t="s">
        <v>160</v>
      </c>
      <c r="G178" s="157" t="s">
        <v>160</v>
      </c>
      <c r="H178" s="157" t="s">
        <v>160</v>
      </c>
      <c r="I178" s="157" t="s">
        <v>160</v>
      </c>
      <c r="J178" s="157" t="s">
        <v>160</v>
      </c>
      <c r="K178" s="172" t="s">
        <v>160</v>
      </c>
    </row>
    <row r="179" spans="2:11" ht="14.25" customHeight="1">
      <c r="B179" s="66"/>
      <c r="C179" s="67"/>
      <c r="D179" s="81"/>
      <c r="E179" s="39"/>
      <c r="F179" s="39"/>
      <c r="G179" s="39"/>
      <c r="H179" s="39"/>
      <c r="I179" s="39"/>
      <c r="J179" s="39"/>
      <c r="K179" s="172"/>
    </row>
    <row r="180" spans="2:11" ht="14.25" customHeight="1">
      <c r="B180" s="66" t="s">
        <v>150</v>
      </c>
      <c r="C180" s="67"/>
      <c r="D180" s="159" t="s">
        <v>160</v>
      </c>
      <c r="E180" s="157" t="s">
        <v>160</v>
      </c>
      <c r="F180" s="157" t="s">
        <v>160</v>
      </c>
      <c r="G180" s="157" t="s">
        <v>160</v>
      </c>
      <c r="H180" s="157" t="s">
        <v>160</v>
      </c>
      <c r="I180" s="157" t="s">
        <v>160</v>
      </c>
      <c r="J180" s="157" t="s">
        <v>160</v>
      </c>
      <c r="K180" s="172" t="s">
        <v>160</v>
      </c>
    </row>
    <row r="181" spans="2:11" ht="14.25" customHeight="1">
      <c r="B181" s="66" t="s">
        <v>151</v>
      </c>
      <c r="C181" s="67"/>
      <c r="D181" s="81">
        <f>23680/100</f>
        <v>236.8</v>
      </c>
      <c r="E181" s="39">
        <f>ROUND(D181/$AB$50,0)</f>
        <v>254</v>
      </c>
      <c r="F181" s="39">
        <f>229602/100</f>
        <v>2296.02</v>
      </c>
      <c r="G181" s="39">
        <f>ROUND(F181/$AB$51,0)</f>
        <v>2426</v>
      </c>
      <c r="H181" s="39">
        <f>214505/100</f>
        <v>2145.0500000000002</v>
      </c>
      <c r="I181" s="39">
        <f>ROUND(H181/$AB$52,0)</f>
        <v>2217</v>
      </c>
      <c r="J181" s="39">
        <f>235269/100</f>
        <v>2352.69</v>
      </c>
      <c r="K181" s="82">
        <f>ROUND(J181/$AB$53,0)</f>
        <v>2391</v>
      </c>
    </row>
    <row r="182" spans="2:11" ht="14.25" customHeight="1">
      <c r="B182" s="66" t="s">
        <v>426</v>
      </c>
      <c r="C182" s="67"/>
      <c r="D182" s="159" t="s">
        <v>160</v>
      </c>
      <c r="E182" s="157" t="s">
        <v>160</v>
      </c>
      <c r="F182" s="157" t="s">
        <v>160</v>
      </c>
      <c r="G182" s="157" t="s">
        <v>160</v>
      </c>
      <c r="H182" s="157" t="s">
        <v>160</v>
      </c>
      <c r="I182" s="157" t="s">
        <v>160</v>
      </c>
      <c r="J182" s="157" t="s">
        <v>160</v>
      </c>
      <c r="K182" s="172" t="s">
        <v>160</v>
      </c>
    </row>
    <row r="183" spans="2:11" ht="14.25" customHeight="1">
      <c r="B183" s="66" t="s">
        <v>152</v>
      </c>
      <c r="C183" s="67"/>
      <c r="D183" s="159" t="s">
        <v>160</v>
      </c>
      <c r="E183" s="157" t="s">
        <v>160</v>
      </c>
      <c r="F183" s="157" t="s">
        <v>160</v>
      </c>
      <c r="G183" s="157" t="s">
        <v>160</v>
      </c>
      <c r="H183" s="157" t="s">
        <v>160</v>
      </c>
      <c r="I183" s="157" t="s">
        <v>160</v>
      </c>
      <c r="J183" s="157" t="s">
        <v>160</v>
      </c>
      <c r="K183" s="172" t="s">
        <v>160</v>
      </c>
    </row>
    <row r="184" spans="2:11" ht="14.25" customHeight="1">
      <c r="B184" s="66" t="s">
        <v>153</v>
      </c>
      <c r="C184" s="67"/>
      <c r="D184" s="159" t="s">
        <v>160</v>
      </c>
      <c r="E184" s="157" t="s">
        <v>160</v>
      </c>
      <c r="F184" s="157" t="s">
        <v>160</v>
      </c>
      <c r="G184" s="157" t="s">
        <v>160</v>
      </c>
      <c r="H184" s="157" t="s">
        <v>160</v>
      </c>
      <c r="I184" s="157" t="s">
        <v>160</v>
      </c>
      <c r="J184" s="157" t="s">
        <v>160</v>
      </c>
      <c r="K184" s="172" t="s">
        <v>160</v>
      </c>
    </row>
    <row r="185" spans="2:11" ht="14.25" customHeight="1">
      <c r="B185" s="66"/>
      <c r="C185" s="67"/>
      <c r="D185" s="81"/>
      <c r="E185" s="39"/>
      <c r="F185" s="39"/>
      <c r="G185" s="39"/>
      <c r="H185" s="39"/>
      <c r="I185" s="39"/>
      <c r="J185" s="39"/>
      <c r="K185" s="82"/>
    </row>
    <row r="186" spans="2:11" ht="14.25" customHeight="1">
      <c r="B186" s="66" t="s">
        <v>145</v>
      </c>
      <c r="C186" s="67"/>
      <c r="D186" s="81">
        <f>186601/100</f>
        <v>1866.01</v>
      </c>
      <c r="E186" s="39">
        <f>ROUND(D186/$AB$50,0)</f>
        <v>2003</v>
      </c>
      <c r="F186" s="39">
        <f>201001/100</f>
        <v>2010.01</v>
      </c>
      <c r="G186" s="39">
        <f t="shared" ref="G186:G189" si="13">ROUND(F186/$AB$51,0)</f>
        <v>2124</v>
      </c>
      <c r="H186" s="39">
        <f>194701/100</f>
        <v>1947.01</v>
      </c>
      <c r="I186" s="39">
        <f t="shared" ref="I186:I188" si="14">ROUND(H186/$AB$52,0)</f>
        <v>2013</v>
      </c>
      <c r="J186" s="39">
        <f>307292/100</f>
        <v>3072.92</v>
      </c>
      <c r="K186" s="82">
        <f t="shared" ref="K186:K189" si="15">ROUND(J186/$AB$53,0)</f>
        <v>3123</v>
      </c>
    </row>
    <row r="187" spans="2:11" ht="14.25" customHeight="1">
      <c r="B187" s="66" t="s">
        <v>154</v>
      </c>
      <c r="C187" s="67"/>
      <c r="D187" s="81">
        <f>894843/100</f>
        <v>8948.43</v>
      </c>
      <c r="E187" s="39">
        <f t="shared" ref="E187:E189" si="16">ROUND(D187/$AB$50,0)</f>
        <v>9607</v>
      </c>
      <c r="F187" s="39">
        <f>1010003/100</f>
        <v>10100.030000000001</v>
      </c>
      <c r="G187" s="39">
        <f t="shared" si="13"/>
        <v>10672</v>
      </c>
      <c r="H187" s="39">
        <f>1127733/100</f>
        <v>11277.33</v>
      </c>
      <c r="I187" s="39">
        <f t="shared" si="14"/>
        <v>11658</v>
      </c>
      <c r="J187" s="39">
        <f>1438896/100</f>
        <v>14388.96</v>
      </c>
      <c r="K187" s="82">
        <f t="shared" si="15"/>
        <v>14622</v>
      </c>
    </row>
    <row r="188" spans="2:11" ht="14.25" customHeight="1">
      <c r="B188" s="66" t="s">
        <v>146</v>
      </c>
      <c r="C188" s="67"/>
      <c r="D188" s="81">
        <f>186944/100</f>
        <v>1869.44</v>
      </c>
      <c r="E188" s="39">
        <f t="shared" si="16"/>
        <v>2007</v>
      </c>
      <c r="F188" s="39">
        <f>45021/100</f>
        <v>450.21</v>
      </c>
      <c r="G188" s="39">
        <f t="shared" si="13"/>
        <v>476</v>
      </c>
      <c r="H188" s="39">
        <f>145491/100</f>
        <v>1454.91</v>
      </c>
      <c r="I188" s="39">
        <f t="shared" si="14"/>
        <v>1504</v>
      </c>
      <c r="J188" s="39">
        <f>80706/100</f>
        <v>807.06</v>
      </c>
      <c r="K188" s="82">
        <f t="shared" si="15"/>
        <v>820</v>
      </c>
    </row>
    <row r="189" spans="2:11" ht="14.25" customHeight="1">
      <c r="B189" s="66" t="s">
        <v>155</v>
      </c>
      <c r="C189" s="67"/>
      <c r="D189" s="159">
        <f>19480/100</f>
        <v>194.8</v>
      </c>
      <c r="E189" s="39">
        <f t="shared" si="16"/>
        <v>209</v>
      </c>
      <c r="F189" s="157">
        <f>15640/100</f>
        <v>156.4</v>
      </c>
      <c r="G189" s="39">
        <f t="shared" si="13"/>
        <v>165</v>
      </c>
      <c r="H189" s="39">
        <f>26486/100</f>
        <v>264.86</v>
      </c>
      <c r="I189" s="39">
        <f>ROUND(H189/$AB$52,0)</f>
        <v>274</v>
      </c>
      <c r="J189" s="39">
        <f>18950/100</f>
        <v>189.5</v>
      </c>
      <c r="K189" s="82">
        <f t="shared" si="15"/>
        <v>193</v>
      </c>
    </row>
    <row r="190" spans="2:11" ht="14.25" customHeight="1">
      <c r="B190" s="66" t="s">
        <v>156</v>
      </c>
      <c r="C190" s="67"/>
      <c r="D190" s="159" t="s">
        <v>133</v>
      </c>
      <c r="E190" s="157" t="s">
        <v>133</v>
      </c>
      <c r="F190" s="157" t="s">
        <v>133</v>
      </c>
      <c r="G190" s="157" t="s">
        <v>133</v>
      </c>
      <c r="H190" s="39">
        <f>15500/100</f>
        <v>155</v>
      </c>
      <c r="I190" s="39">
        <f>ROUND(H190/$AB$52,0)</f>
        <v>160</v>
      </c>
      <c r="J190" s="39">
        <f>15500/100</f>
        <v>155</v>
      </c>
      <c r="K190" s="82">
        <f>ROUND(J190/$AB$53,0)</f>
        <v>158</v>
      </c>
    </row>
    <row r="191" spans="2:11" ht="14.25" customHeight="1">
      <c r="B191" s="66"/>
      <c r="C191" s="67"/>
      <c r="D191" s="81"/>
      <c r="E191" s="39"/>
      <c r="F191" s="39"/>
      <c r="G191" s="39"/>
      <c r="H191" s="39"/>
      <c r="I191" s="39"/>
      <c r="J191" s="39"/>
      <c r="K191" s="82"/>
    </row>
    <row r="192" spans="2:11" ht="14.25" customHeight="1">
      <c r="B192" s="66" t="s">
        <v>147</v>
      </c>
      <c r="C192" s="67"/>
      <c r="D192" s="159" t="s">
        <v>133</v>
      </c>
      <c r="E192" s="157" t="s">
        <v>133</v>
      </c>
      <c r="F192" s="157" t="s">
        <v>133</v>
      </c>
      <c r="G192" s="157" t="s">
        <v>133</v>
      </c>
      <c r="H192" s="157" t="s">
        <v>133</v>
      </c>
      <c r="I192" s="157" t="s">
        <v>133</v>
      </c>
      <c r="J192" s="157" t="s">
        <v>133</v>
      </c>
      <c r="K192" s="172" t="s">
        <v>125</v>
      </c>
    </row>
    <row r="193" spans="2:11" ht="14.25" customHeight="1">
      <c r="B193" s="66" t="s">
        <v>148</v>
      </c>
      <c r="C193" s="67"/>
      <c r="D193" s="159" t="s">
        <v>160</v>
      </c>
      <c r="E193" s="157" t="s">
        <v>160</v>
      </c>
      <c r="F193" s="157" t="s">
        <v>160</v>
      </c>
      <c r="G193" s="157" t="s">
        <v>160</v>
      </c>
      <c r="H193" s="157" t="s">
        <v>160</v>
      </c>
      <c r="I193" s="157" t="s">
        <v>160</v>
      </c>
      <c r="J193" s="157" t="s">
        <v>160</v>
      </c>
      <c r="K193" s="172" t="s">
        <v>139</v>
      </c>
    </row>
    <row r="194" spans="2:11" ht="14.25" customHeight="1">
      <c r="B194" s="66"/>
      <c r="C194" s="67"/>
      <c r="D194" s="159"/>
      <c r="E194" s="157"/>
      <c r="F194" s="157"/>
      <c r="G194" s="157"/>
      <c r="H194" s="157"/>
      <c r="I194" s="157"/>
      <c r="J194" s="157"/>
      <c r="K194" s="172"/>
    </row>
    <row r="195" spans="2:11" ht="14.25" customHeight="1">
      <c r="B195" s="66"/>
      <c r="C195" s="67"/>
      <c r="D195" s="159"/>
      <c r="E195" s="157"/>
      <c r="F195" s="157"/>
      <c r="G195" s="157"/>
      <c r="H195" s="157"/>
      <c r="I195" s="157"/>
      <c r="J195" s="157"/>
      <c r="K195" s="172"/>
    </row>
    <row r="196" spans="2:11" ht="14.25" customHeight="1">
      <c r="B196" s="66"/>
      <c r="C196" s="67"/>
      <c r="D196" s="159"/>
      <c r="E196" s="157"/>
      <c r="F196" s="157"/>
      <c r="G196" s="157"/>
      <c r="H196" s="157"/>
      <c r="I196" s="157"/>
      <c r="J196" s="157"/>
      <c r="K196" s="172"/>
    </row>
    <row r="197" spans="2:11" ht="14.25" customHeight="1">
      <c r="B197" s="68" t="s">
        <v>149</v>
      </c>
      <c r="C197" s="69"/>
      <c r="D197" s="160" t="s">
        <v>160</v>
      </c>
      <c r="E197" s="161" t="s">
        <v>160</v>
      </c>
      <c r="F197" s="161" t="s">
        <v>160</v>
      </c>
      <c r="G197" s="161" t="s">
        <v>160</v>
      </c>
      <c r="H197" s="161" t="s">
        <v>160</v>
      </c>
      <c r="I197" s="161" t="s">
        <v>160</v>
      </c>
      <c r="J197" s="161" t="s">
        <v>160</v>
      </c>
      <c r="K197" s="175" t="s">
        <v>139</v>
      </c>
    </row>
    <row r="198" spans="2:11" ht="14.25" customHeight="1">
      <c r="B198" s="1" t="s">
        <v>501</v>
      </c>
      <c r="J198" s="70" t="s">
        <v>76</v>
      </c>
    </row>
    <row r="199" spans="2:11" ht="14.25" customHeight="1">
      <c r="B199" s="1" t="s">
        <v>423</v>
      </c>
    </row>
  </sheetData>
  <mergeCells count="20">
    <mergeCell ref="N2:N3"/>
    <mergeCell ref="O2:V2"/>
    <mergeCell ref="B170:C171"/>
    <mergeCell ref="B34:C35"/>
    <mergeCell ref="B68:C69"/>
    <mergeCell ref="B102:C103"/>
    <mergeCell ref="B136:C137"/>
    <mergeCell ref="B2:C3"/>
    <mergeCell ref="U35:U36"/>
    <mergeCell ref="N68:N70"/>
    <mergeCell ref="O69:O70"/>
    <mergeCell ref="Q69:Q70"/>
    <mergeCell ref="S69:S70"/>
    <mergeCell ref="U69:U70"/>
    <mergeCell ref="W69:W70"/>
    <mergeCell ref="W35:W36"/>
    <mergeCell ref="N34:N36"/>
    <mergeCell ref="O35:O36"/>
    <mergeCell ref="Q35:Q36"/>
    <mergeCell ref="S35:S36"/>
  </mergeCells>
  <phoneticPr fontId="3"/>
  <pageMargins left="0.59055118110236227" right="0.59055118110236227" top="1.3779527559055118" bottom="0.78740157480314965" header="0.98425196850393704" footer="0.51181102362204722"/>
  <pageSetup paperSize="9" orientation="landscape" horizontalDpi="1200" verticalDpi="1200" r:id="rId1"/>
  <headerFooter alignWithMargins="0">
    <oddHeader>&amp;L&amp;"HGｺﾞｼｯｸM,ﾒﾃﾞｨｳﾑ"&amp;16産業中分類別工業出荷額&amp;R&amp;"HGｺﾞｼｯｸM,ﾒﾃﾞｨｳﾑ"
高森町　②産業　C0202-2産業中分類別工業出荷額</oddHeader>
    <oddFooter>&amp;R&amp;"HGｺﾞｼｯｸM,ﾒﾃﾞｨｳﾑ"C0202-2産業中分類別工業出荷額　&amp;P/9</oddFooter>
  </headerFooter>
  <ignoredErrors>
    <ignoredError sqref="I190" formula="1"/>
  </ignoredErrors>
</worksheet>
</file>

<file path=xl/worksheets/sheet9.xml><?xml version="1.0" encoding="utf-8"?>
<worksheet xmlns="http://schemas.openxmlformats.org/spreadsheetml/2006/main" xmlns:r="http://schemas.openxmlformats.org/officeDocument/2006/relationships">
  <dimension ref="B1:AF44"/>
  <sheetViews>
    <sheetView showGridLines="0" zoomScaleNormal="100" workbookViewId="0">
      <selection activeCell="H15" sqref="H15"/>
    </sheetView>
  </sheetViews>
  <sheetFormatPr defaultColWidth="8.875" defaultRowHeight="18" customHeight="1"/>
  <cols>
    <col min="1" max="1" width="1.75" style="1" customWidth="1"/>
    <col min="2" max="2" width="2.625" style="85" customWidth="1"/>
    <col min="3" max="3" width="10.75" style="1" customWidth="1"/>
    <col min="4" max="4" width="10.625" style="1" customWidth="1"/>
    <col min="5" max="6" width="10.875" style="1" customWidth="1"/>
    <col min="7" max="14" width="10.875" style="189" customWidth="1"/>
    <col min="15" max="16" width="1.75" style="1" customWidth="1"/>
    <col min="17" max="17" width="5.5" style="85" customWidth="1"/>
    <col min="18" max="20" width="9.75" style="1" customWidth="1"/>
    <col min="21" max="30" width="9.75" style="189" customWidth="1"/>
    <col min="31" max="32" width="1.75" style="1" customWidth="1"/>
    <col min="33" max="16384" width="8.875" style="1"/>
  </cols>
  <sheetData>
    <row r="1" spans="2:31" ht="4.5" customHeight="1">
      <c r="B1" s="183"/>
      <c r="C1" s="183"/>
      <c r="D1" s="183"/>
      <c r="E1" s="183"/>
      <c r="F1" s="183"/>
      <c r="G1" s="183"/>
      <c r="H1" s="183"/>
      <c r="I1" s="183"/>
      <c r="J1" s="183"/>
      <c r="K1" s="183"/>
      <c r="L1" s="183"/>
      <c r="M1" s="183"/>
      <c r="N1" s="183"/>
      <c r="Q1" s="183"/>
      <c r="R1" s="183"/>
      <c r="S1" s="183"/>
      <c r="T1" s="183"/>
      <c r="U1" s="183"/>
      <c r="V1" s="183"/>
      <c r="W1" s="183"/>
      <c r="X1" s="183"/>
      <c r="Y1" s="183"/>
      <c r="Z1" s="183"/>
      <c r="AA1" s="183"/>
      <c r="AB1" s="183"/>
      <c r="AC1" s="1"/>
      <c r="AD1" s="1"/>
    </row>
    <row r="2" spans="2:31" ht="17.25" customHeight="1">
      <c r="B2" s="241" t="s">
        <v>381</v>
      </c>
      <c r="C2" s="183"/>
      <c r="D2" s="183"/>
      <c r="E2" s="183"/>
      <c r="F2" s="183"/>
      <c r="G2" s="183"/>
      <c r="H2" s="183"/>
      <c r="I2" s="183"/>
      <c r="J2" s="183"/>
      <c r="K2" s="183"/>
      <c r="L2" s="183"/>
      <c r="M2" s="183"/>
      <c r="N2" s="190" t="s">
        <v>382</v>
      </c>
      <c r="Q2" s="251" t="s">
        <v>383</v>
      </c>
      <c r="R2" s="251"/>
      <c r="S2" s="252"/>
      <c r="T2" s="253"/>
      <c r="U2" s="253"/>
      <c r="V2" s="254"/>
      <c r="W2" s="254"/>
      <c r="X2" s="254"/>
      <c r="Y2" s="254"/>
      <c r="Z2" s="254"/>
      <c r="AA2" s="254"/>
      <c r="AB2" s="251"/>
      <c r="AC2" s="251"/>
      <c r="AD2" s="251"/>
    </row>
    <row r="3" spans="2:31" ht="19.5" customHeight="1">
      <c r="B3" s="652" t="s">
        <v>384</v>
      </c>
      <c r="C3" s="685"/>
      <c r="D3" s="686"/>
      <c r="E3" s="191" t="s">
        <v>70</v>
      </c>
      <c r="F3" s="191" t="s">
        <v>176</v>
      </c>
      <c r="G3" s="191" t="s">
        <v>177</v>
      </c>
      <c r="H3" s="191" t="s">
        <v>178</v>
      </c>
      <c r="I3" s="192" t="s">
        <v>195</v>
      </c>
      <c r="J3" s="191" t="s">
        <v>504</v>
      </c>
      <c r="K3" s="191" t="s">
        <v>444</v>
      </c>
      <c r="L3" s="191" t="s">
        <v>445</v>
      </c>
      <c r="M3" s="191" t="s">
        <v>446</v>
      </c>
      <c r="N3" s="193" t="s">
        <v>447</v>
      </c>
      <c r="Q3" s="251"/>
      <c r="R3" s="251"/>
      <c r="S3" s="255" t="s">
        <v>385</v>
      </c>
      <c r="T3" s="251"/>
      <c r="U3" s="251"/>
      <c r="V3" s="251"/>
      <c r="W3" s="251"/>
      <c r="X3" s="251"/>
      <c r="Y3" s="251"/>
      <c r="Z3" s="251"/>
      <c r="AA3" s="251"/>
      <c r="AB3" s="251"/>
      <c r="AC3" s="251"/>
      <c r="AD3" s="251"/>
    </row>
    <row r="4" spans="2:31" s="33" customFormat="1" ht="19.5" customHeight="1">
      <c r="B4" s="717"/>
      <c r="C4" s="718"/>
      <c r="D4" s="719"/>
      <c r="E4" s="194" t="s">
        <v>594</v>
      </c>
      <c r="F4" s="194" t="s">
        <v>595</v>
      </c>
      <c r="G4" s="194" t="s">
        <v>596</v>
      </c>
      <c r="H4" s="194" t="s">
        <v>597</v>
      </c>
      <c r="I4" s="194" t="s">
        <v>535</v>
      </c>
      <c r="J4" s="194" t="s">
        <v>505</v>
      </c>
      <c r="K4" s="194" t="s">
        <v>506</v>
      </c>
      <c r="L4" s="194" t="s">
        <v>507</v>
      </c>
      <c r="M4" s="194" t="s">
        <v>508</v>
      </c>
      <c r="N4" s="480" t="s">
        <v>509</v>
      </c>
      <c r="Q4" s="256" t="s">
        <v>241</v>
      </c>
      <c r="R4" s="257" t="s">
        <v>387</v>
      </c>
      <c r="S4" s="256" t="s">
        <v>388</v>
      </c>
      <c r="T4" s="256" t="s">
        <v>389</v>
      </c>
      <c r="U4" s="256" t="s">
        <v>390</v>
      </c>
      <c r="V4" s="256" t="s">
        <v>391</v>
      </c>
      <c r="W4" s="256" t="s">
        <v>392</v>
      </c>
      <c r="X4" s="256" t="s">
        <v>393</v>
      </c>
      <c r="Y4" s="256" t="s">
        <v>394</v>
      </c>
      <c r="Z4" s="256" t="s">
        <v>395</v>
      </c>
      <c r="AA4" s="256" t="s">
        <v>396</v>
      </c>
      <c r="AB4" s="256" t="s">
        <v>390</v>
      </c>
      <c r="AC4" s="258" t="s">
        <v>397</v>
      </c>
      <c r="AD4" s="258" t="s">
        <v>398</v>
      </c>
    </row>
    <row r="5" spans="2:31" ht="19.5" customHeight="1">
      <c r="B5" s="714" t="s">
        <v>386</v>
      </c>
      <c r="C5" s="715"/>
      <c r="D5" s="716"/>
      <c r="E5" s="477">
        <f>'C0202-2工業出荷額'!G70</f>
        <v>25114</v>
      </c>
      <c r="F5" s="477">
        <f>'C0202-2工業出荷額'!I104</f>
        <v>36021</v>
      </c>
      <c r="G5" s="477">
        <f>'C0202-2工業出荷額'!G172</f>
        <v>23339</v>
      </c>
      <c r="H5" s="477">
        <f>'C0202-2工業出荷額'!T37</f>
        <v>20137</v>
      </c>
      <c r="I5" s="477">
        <f>'C0202-2工業出荷額'!T71</f>
        <v>20318</v>
      </c>
      <c r="J5" s="478">
        <f>'C0202-2工業出荷額'!X71</f>
        <v>18663</v>
      </c>
      <c r="K5" s="199"/>
      <c r="L5" s="200"/>
      <c r="M5" s="292"/>
      <c r="N5" s="201"/>
      <c r="Q5" s="260" t="s">
        <v>105</v>
      </c>
      <c r="R5" s="261">
        <v>-10</v>
      </c>
      <c r="S5" s="434">
        <v>28386</v>
      </c>
      <c r="T5" s="262">
        <f>R5*S5</f>
        <v>-283860</v>
      </c>
      <c r="U5" s="262">
        <f>R5*R5</f>
        <v>100</v>
      </c>
      <c r="V5" s="262">
        <f>U5*S5</f>
        <v>2838600</v>
      </c>
      <c r="W5" s="262">
        <f>U5*U5</f>
        <v>10000</v>
      </c>
      <c r="X5" s="263">
        <f>LOG10(S5)</f>
        <v>4.4531041984322091</v>
      </c>
      <c r="Y5" s="263">
        <f>R5*X5</f>
        <v>-44.531041984322087</v>
      </c>
      <c r="Z5" s="261">
        <v>0</v>
      </c>
      <c r="AA5" s="264"/>
      <c r="AB5" s="264"/>
      <c r="AC5" s="265">
        <f>ROUNDDOWN(((S5/S9)*100),2)</f>
        <v>152.09</v>
      </c>
      <c r="AD5" s="266"/>
    </row>
    <row r="6" spans="2:31" ht="19.5" customHeight="1">
      <c r="B6" s="250" t="s">
        <v>198</v>
      </c>
      <c r="C6" s="5"/>
      <c r="D6" s="204" t="s">
        <v>199</v>
      </c>
      <c r="E6" s="205"/>
      <c r="F6" s="205"/>
      <c r="G6" s="205"/>
      <c r="H6" s="205"/>
      <c r="I6" s="452"/>
      <c r="J6" s="205"/>
      <c r="K6" s="208">
        <f>U21</f>
        <v>17204</v>
      </c>
      <c r="L6" s="209">
        <f>W21</f>
        <v>14774</v>
      </c>
      <c r="M6" s="209">
        <f>Y21</f>
        <v>11857</v>
      </c>
      <c r="N6" s="210">
        <f>AA21</f>
        <v>9427</v>
      </c>
      <c r="Q6" s="260" t="s">
        <v>399</v>
      </c>
      <c r="R6" s="261">
        <v>-5</v>
      </c>
      <c r="S6" s="435">
        <v>21761</v>
      </c>
      <c r="T6" s="262">
        <f>R6*S6</f>
        <v>-108805</v>
      </c>
      <c r="U6" s="262">
        <f>R6*R6</f>
        <v>25</v>
      </c>
      <c r="V6" s="262">
        <f>U6*S6</f>
        <v>544025</v>
      </c>
      <c r="W6" s="262">
        <f>U6*U6</f>
        <v>625</v>
      </c>
      <c r="X6" s="263">
        <f>LOG10(S6)</f>
        <v>4.3376788489536704</v>
      </c>
      <c r="Y6" s="263">
        <f>R6*X6</f>
        <v>-21.688394244768354</v>
      </c>
      <c r="Z6" s="261">
        <v>5</v>
      </c>
      <c r="AA6" s="264">
        <f>LOG10(Z6)</f>
        <v>0.69897000433601886</v>
      </c>
      <c r="AB6" s="264">
        <f>AA6*AA6</f>
        <v>0.4885590669614942</v>
      </c>
      <c r="AC6" s="265">
        <f>ROUNDDOWN(((S6/S9)*100),2)</f>
        <v>116.59</v>
      </c>
      <c r="AD6" s="265">
        <f>(AC6-AC5)</f>
        <v>-35.5</v>
      </c>
    </row>
    <row r="7" spans="2:31" ht="19.5" customHeight="1">
      <c r="B7" s="432"/>
      <c r="C7" s="67"/>
      <c r="D7" s="35" t="s">
        <v>200</v>
      </c>
      <c r="E7" s="207"/>
      <c r="F7" s="207"/>
      <c r="G7" s="207"/>
      <c r="H7" s="207"/>
      <c r="I7" s="453"/>
      <c r="J7" s="207"/>
      <c r="K7" s="208">
        <f t="shared" ref="K7:K10" si="0">U22</f>
        <v>17525</v>
      </c>
      <c r="L7" s="209">
        <f t="shared" ref="L7:L10" si="1">W22</f>
        <v>15782</v>
      </c>
      <c r="M7" s="209">
        <f t="shared" ref="M7:M10" si="2">Y22</f>
        <v>13917</v>
      </c>
      <c r="N7" s="210">
        <f t="shared" ref="N7:N10" si="3">AA22</f>
        <v>12532</v>
      </c>
      <c r="Q7" s="260" t="s">
        <v>503</v>
      </c>
      <c r="R7" s="261">
        <v>0</v>
      </c>
      <c r="S7" s="436">
        <v>27418</v>
      </c>
      <c r="T7" s="262">
        <f>R7*S7</f>
        <v>0</v>
      </c>
      <c r="U7" s="262">
        <f>R7*R7</f>
        <v>0</v>
      </c>
      <c r="V7" s="262">
        <f>U7*S7</f>
        <v>0</v>
      </c>
      <c r="W7" s="262">
        <f>U7*U7</f>
        <v>0</v>
      </c>
      <c r="X7" s="263">
        <f>LOG10(S7)</f>
        <v>4.4380357720930794</v>
      </c>
      <c r="Y7" s="263">
        <f>R7*X7</f>
        <v>0</v>
      </c>
      <c r="Z7" s="261">
        <v>10</v>
      </c>
      <c r="AA7" s="264">
        <f>LOG10(Z7)</f>
        <v>1</v>
      </c>
      <c r="AB7" s="264">
        <f>AA7*AA7</f>
        <v>1</v>
      </c>
      <c r="AC7" s="265">
        <f>ROUNDDOWN(((S7/S9)*100),2)</f>
        <v>146.91</v>
      </c>
      <c r="AD7" s="265">
        <f>(AC7-AC5)</f>
        <v>-5.1800000000000068</v>
      </c>
    </row>
    <row r="8" spans="2:31" ht="19.5" customHeight="1">
      <c r="B8" s="432"/>
      <c r="C8" s="67"/>
      <c r="D8" s="35" t="s">
        <v>201</v>
      </c>
      <c r="E8" s="207"/>
      <c r="F8" s="207"/>
      <c r="G8" s="207"/>
      <c r="H8" s="207"/>
      <c r="I8" s="453"/>
      <c r="J8" s="207"/>
      <c r="K8" s="208">
        <f t="shared" si="0"/>
        <v>16582</v>
      </c>
      <c r="L8" s="209">
        <f t="shared" si="1"/>
        <v>14312</v>
      </c>
      <c r="M8" s="209">
        <f t="shared" si="2"/>
        <v>12042</v>
      </c>
      <c r="N8" s="210">
        <f t="shared" si="3"/>
        <v>9772</v>
      </c>
      <c r="Q8" s="267" t="s">
        <v>400</v>
      </c>
      <c r="R8" s="261">
        <v>5</v>
      </c>
      <c r="S8" s="437">
        <v>18463</v>
      </c>
      <c r="T8" s="262">
        <f>R8*S8</f>
        <v>92315</v>
      </c>
      <c r="U8" s="262">
        <f>R8*R8</f>
        <v>25</v>
      </c>
      <c r="V8" s="262">
        <f>U8*S8</f>
        <v>461575</v>
      </c>
      <c r="W8" s="262">
        <f>U8*U8</f>
        <v>625</v>
      </c>
      <c r="X8" s="263">
        <f>LOG10(S8)</f>
        <v>4.2663022696903852</v>
      </c>
      <c r="Y8" s="263">
        <f>R8*X8</f>
        <v>21.331511348451926</v>
      </c>
      <c r="Z8" s="261">
        <v>15</v>
      </c>
      <c r="AA8" s="264">
        <f>LOG10(Z8)</f>
        <v>1.1760912590556813</v>
      </c>
      <c r="AB8" s="264">
        <f>AA8*AA8</f>
        <v>1.3831906496271777</v>
      </c>
      <c r="AC8" s="265">
        <f>ROUNDDOWN(((S8/S9)*100),2)</f>
        <v>98.92</v>
      </c>
      <c r="AD8" s="265">
        <f>(AC8-AC5)</f>
        <v>-53.17</v>
      </c>
    </row>
    <row r="9" spans="2:31" ht="19.5" customHeight="1">
      <c r="B9" s="432"/>
      <c r="C9" s="67"/>
      <c r="D9" s="35" t="s">
        <v>202</v>
      </c>
      <c r="E9" s="207"/>
      <c r="F9" s="207"/>
      <c r="G9" s="207"/>
      <c r="H9" s="207"/>
      <c r="I9" s="453"/>
      <c r="J9" s="207"/>
      <c r="K9" s="208">
        <f t="shared" si="0"/>
        <v>16837</v>
      </c>
      <c r="L9" s="209">
        <f t="shared" si="1"/>
        <v>14562</v>
      </c>
      <c r="M9" s="209">
        <f t="shared" si="2"/>
        <v>12288</v>
      </c>
      <c r="N9" s="210">
        <f t="shared" si="3"/>
        <v>10014</v>
      </c>
      <c r="Q9" s="267" t="s">
        <v>502</v>
      </c>
      <c r="R9" s="268">
        <v>10</v>
      </c>
      <c r="S9" s="434">
        <v>18663</v>
      </c>
      <c r="T9" s="269">
        <f>R9*S9</f>
        <v>186630</v>
      </c>
      <c r="U9" s="269">
        <f>R9*R9</f>
        <v>100</v>
      </c>
      <c r="V9" s="269">
        <f>U9*S9</f>
        <v>1866300</v>
      </c>
      <c r="W9" s="269">
        <f>U9*U9</f>
        <v>10000</v>
      </c>
      <c r="X9" s="270">
        <f>LOG10(S9)</f>
        <v>4.2709814560623318</v>
      </c>
      <c r="Y9" s="270">
        <f>R9*X9</f>
        <v>42.709814560623315</v>
      </c>
      <c r="Z9" s="268">
        <v>20</v>
      </c>
      <c r="AA9" s="271">
        <f>LOG10(Z9)</f>
        <v>1.3010299956639813</v>
      </c>
      <c r="AB9" s="271">
        <f>AA9*AA9</f>
        <v>1.6926790496174191</v>
      </c>
      <c r="AC9" s="272">
        <v>100</v>
      </c>
      <c r="AD9" s="265">
        <f>(AC9-AC5)</f>
        <v>-52.09</v>
      </c>
    </row>
    <row r="10" spans="2:31" s="251" customFormat="1" ht="19.5" customHeight="1">
      <c r="B10" s="433"/>
      <c r="C10" s="69"/>
      <c r="D10" s="212" t="s">
        <v>284</v>
      </c>
      <c r="E10" s="213"/>
      <c r="F10" s="213"/>
      <c r="G10" s="213"/>
      <c r="H10" s="213"/>
      <c r="I10" s="213"/>
      <c r="J10" s="213"/>
      <c r="K10" s="214">
        <f t="shared" si="0"/>
        <v>17028</v>
      </c>
      <c r="L10" s="215">
        <f t="shared" si="1"/>
        <v>15402</v>
      </c>
      <c r="M10" s="215">
        <f t="shared" si="2"/>
        <v>13931</v>
      </c>
      <c r="N10" s="216">
        <f t="shared" si="3"/>
        <v>12601</v>
      </c>
      <c r="Q10" s="279" t="s">
        <v>256</v>
      </c>
      <c r="R10" s="268"/>
      <c r="S10" s="269">
        <f>SUM(S5:S9)</f>
        <v>114691</v>
      </c>
      <c r="T10" s="269">
        <f t="shared" ref="T10" si="4">SUM(T5:T9)</f>
        <v>-113720</v>
      </c>
      <c r="U10" s="269">
        <f>SUM(U5:U9)</f>
        <v>250</v>
      </c>
      <c r="V10" s="269">
        <f t="shared" ref="V10:Y10" si="5">SUM(V5:V9)</f>
        <v>5710500</v>
      </c>
      <c r="W10" s="269">
        <f t="shared" si="5"/>
        <v>21250</v>
      </c>
      <c r="X10" s="270">
        <f t="shared" si="5"/>
        <v>21.766102545231675</v>
      </c>
      <c r="Y10" s="270">
        <f t="shared" si="5"/>
        <v>-2.1781103200151932</v>
      </c>
      <c r="Z10" s="268">
        <v>5</v>
      </c>
      <c r="AA10" s="271">
        <f>SUM(AA6:AA9)</f>
        <v>4.1760912590556813</v>
      </c>
      <c r="AB10" s="271">
        <f>SUM(AB6:AB9)</f>
        <v>4.5644287662060909</v>
      </c>
      <c r="AC10" s="273"/>
      <c r="AD10" s="266"/>
    </row>
    <row r="11" spans="2:31" s="259" customFormat="1" ht="11.25">
      <c r="B11" s="251"/>
      <c r="C11" s="251"/>
      <c r="D11" s="251"/>
      <c r="E11" s="251"/>
      <c r="F11" s="251"/>
      <c r="G11" s="251"/>
      <c r="H11" s="251"/>
      <c r="I11" s="251"/>
      <c r="J11" s="251"/>
      <c r="K11" s="251"/>
      <c r="L11" s="251"/>
      <c r="M11" s="251"/>
      <c r="N11" s="251"/>
      <c r="O11" s="251"/>
      <c r="Q11" s="274"/>
      <c r="R11" s="275"/>
      <c r="S11" s="276"/>
      <c r="T11" s="274"/>
      <c r="U11" s="277"/>
      <c r="V11" s="275"/>
      <c r="W11" s="275"/>
      <c r="X11" s="275"/>
      <c r="Y11" s="275"/>
      <c r="Z11" s="274"/>
      <c r="AA11" s="274"/>
      <c r="AB11" s="278"/>
      <c r="AC11" s="274"/>
      <c r="AD11" s="251"/>
      <c r="AE11" s="251"/>
    </row>
    <row r="12" spans="2:31" s="251" customFormat="1" ht="11.25">
      <c r="O12" s="288"/>
      <c r="Q12" s="275"/>
      <c r="R12" s="275"/>
      <c r="S12" s="276"/>
      <c r="T12" s="274" t="s">
        <v>258</v>
      </c>
      <c r="U12" s="274"/>
      <c r="V12" s="274"/>
      <c r="W12" s="274"/>
      <c r="X12" s="274"/>
      <c r="Y12" s="274"/>
      <c r="Z12" s="274"/>
      <c r="AA12" s="274"/>
      <c r="AB12" s="278"/>
      <c r="AC12" s="274"/>
      <c r="AE12" s="288"/>
    </row>
    <row r="13" spans="2:31" s="251" customFormat="1" ht="19.5" customHeight="1">
      <c r="O13" s="254"/>
      <c r="Q13" s="274"/>
      <c r="R13" s="274"/>
      <c r="S13" s="276"/>
      <c r="T13" s="279" t="s">
        <v>259</v>
      </c>
      <c r="U13" s="279" t="s">
        <v>260</v>
      </c>
      <c r="V13" s="279" t="s">
        <v>261</v>
      </c>
      <c r="W13" s="279" t="s">
        <v>401</v>
      </c>
      <c r="X13" s="279" t="s">
        <v>263</v>
      </c>
      <c r="Y13" s="431" t="s">
        <v>264</v>
      </c>
      <c r="Z13" s="678" t="s">
        <v>265</v>
      </c>
      <c r="AA13" s="679"/>
      <c r="AB13" s="278"/>
      <c r="AC13" s="274"/>
      <c r="AE13" s="254"/>
    </row>
    <row r="14" spans="2:31" s="251" customFormat="1" ht="19.5" customHeight="1">
      <c r="G14" s="189"/>
      <c r="H14" s="189"/>
      <c r="I14" s="189"/>
      <c r="J14" s="189"/>
      <c r="O14" s="289"/>
      <c r="Q14" s="274"/>
      <c r="R14" s="274"/>
      <c r="S14" s="276"/>
      <c r="T14" s="279" t="s">
        <v>266</v>
      </c>
      <c r="U14" s="279" t="s">
        <v>402</v>
      </c>
      <c r="V14" s="273">
        <f>ROUNDDOWN((S9-S5)/20,1)</f>
        <v>-486.1</v>
      </c>
      <c r="W14" s="273"/>
      <c r="X14" s="273"/>
      <c r="Y14" s="281"/>
      <c r="Z14" s="281" t="s">
        <v>510</v>
      </c>
      <c r="AA14" s="282"/>
      <c r="AB14" s="278"/>
      <c r="AC14" s="274"/>
      <c r="AD14" s="33"/>
      <c r="AE14" s="289"/>
    </row>
    <row r="15" spans="2:31" s="251" customFormat="1" ht="19.5" customHeight="1">
      <c r="G15" s="189"/>
      <c r="H15" s="189"/>
      <c r="I15" s="189"/>
      <c r="J15" s="189"/>
      <c r="O15" s="289"/>
      <c r="Q15" s="275"/>
      <c r="R15" s="275"/>
      <c r="S15" s="276"/>
      <c r="T15" s="279" t="s">
        <v>268</v>
      </c>
      <c r="U15" s="279" t="s">
        <v>403</v>
      </c>
      <c r="V15" s="273">
        <f>ROUNDDOWN(POWER(10,LOG10(S9/S5)/20)-1,5)</f>
        <v>-2.0740000000000001E-2</v>
      </c>
      <c r="W15" s="273"/>
      <c r="X15" s="273"/>
      <c r="Y15" s="281"/>
      <c r="Z15" s="281" t="s">
        <v>510</v>
      </c>
      <c r="AA15" s="283"/>
      <c r="AB15" s="278"/>
      <c r="AC15" s="274"/>
      <c r="AD15" s="59"/>
      <c r="AE15" s="289"/>
    </row>
    <row r="16" spans="2:31" s="251" customFormat="1" ht="19.5" customHeight="1">
      <c r="B16" s="1"/>
      <c r="C16" s="85"/>
      <c r="D16" s="1"/>
      <c r="E16" s="1"/>
      <c r="F16" s="1"/>
      <c r="G16" s="189"/>
      <c r="H16" s="189"/>
      <c r="I16" s="189"/>
      <c r="J16" s="189"/>
      <c r="L16" s="1"/>
      <c r="N16" s="1"/>
      <c r="O16" s="289"/>
      <c r="Q16" s="275"/>
      <c r="R16" s="275"/>
      <c r="S16" s="276"/>
      <c r="T16" s="279" t="s">
        <v>270</v>
      </c>
      <c r="U16" s="279" t="s">
        <v>404</v>
      </c>
      <c r="V16" s="273"/>
      <c r="W16" s="273">
        <f>ROUNDDOWN(T10/U10,0)</f>
        <v>-454</v>
      </c>
      <c r="X16" s="439">
        <f>ROUNDDOWN(S10/Z10,0)</f>
        <v>22938</v>
      </c>
      <c r="Y16" s="281"/>
      <c r="Z16" s="281" t="s">
        <v>510</v>
      </c>
      <c r="AA16" s="282"/>
      <c r="AB16" s="278"/>
      <c r="AC16" s="274"/>
      <c r="AD16" s="59"/>
      <c r="AE16" s="289"/>
    </row>
    <row r="17" spans="2:32" s="251" customFormat="1" ht="19.5" customHeight="1">
      <c r="B17" s="85"/>
      <c r="C17" s="1"/>
      <c r="D17" s="1"/>
      <c r="E17" s="1"/>
      <c r="F17" s="1"/>
      <c r="G17" s="189"/>
      <c r="H17" s="189"/>
      <c r="I17" s="189"/>
      <c r="J17" s="189"/>
      <c r="L17" s="1"/>
      <c r="N17" s="1"/>
      <c r="O17" s="289"/>
      <c r="Q17" s="275"/>
      <c r="R17" s="275"/>
      <c r="S17" s="276"/>
      <c r="T17" s="279" t="s">
        <v>272</v>
      </c>
      <c r="U17" s="279" t="s">
        <v>405</v>
      </c>
      <c r="V17" s="273"/>
      <c r="W17" s="273">
        <f>ROUNDDOWN(((V10-(Z10*V10))/((U10*U10)-(Z10*W10)))/1000,5)</f>
        <v>0.52210000000000001</v>
      </c>
      <c r="X17" s="273">
        <f>ROUNDDOWN(T10/U10,5)</f>
        <v>-454.88</v>
      </c>
      <c r="Y17" s="440">
        <f>ROUNDDOWN(((U10*V10)-(S10*W10))/((U10*U10)-(Z10*W10)),0)</f>
        <v>23075</v>
      </c>
      <c r="Z17" s="281" t="s">
        <v>510</v>
      </c>
      <c r="AA17" s="282"/>
      <c r="AB17" s="278"/>
      <c r="AC17" s="274"/>
      <c r="AD17" s="59"/>
      <c r="AE17" s="289"/>
    </row>
    <row r="18" spans="2:32" s="251" customFormat="1" ht="19.5" customHeight="1">
      <c r="B18" s="85"/>
      <c r="C18" s="1"/>
      <c r="D18" s="1"/>
      <c r="E18" s="1"/>
      <c r="F18" s="1"/>
      <c r="G18" s="189"/>
      <c r="H18" s="189"/>
      <c r="I18" s="189"/>
      <c r="J18" s="189"/>
      <c r="L18" s="189"/>
      <c r="N18" s="189"/>
      <c r="O18" s="254"/>
      <c r="Q18" s="275"/>
      <c r="R18" s="275"/>
      <c r="S18" s="276"/>
      <c r="T18" s="279" t="s">
        <v>274</v>
      </c>
      <c r="U18" s="279" t="s">
        <v>406</v>
      </c>
      <c r="V18" s="273"/>
      <c r="W18" s="439">
        <f>ROUNDDOWN(POWER(10,(X10/Z10)),0)</f>
        <v>22553</v>
      </c>
      <c r="X18" s="273">
        <f>ROUNDDOWN(POWER(10,(Y10/U10)),5)</f>
        <v>0.98012999999999995</v>
      </c>
      <c r="Y18" s="281"/>
      <c r="Z18" s="281" t="s">
        <v>510</v>
      </c>
      <c r="AA18" s="282"/>
      <c r="AB18" s="278"/>
      <c r="AC18" s="274"/>
      <c r="AD18" s="59"/>
      <c r="AE18" s="254"/>
    </row>
    <row r="19" spans="2:32" s="251" customFormat="1" ht="12">
      <c r="B19" s="85"/>
      <c r="C19" s="1"/>
      <c r="D19" s="1"/>
      <c r="E19" s="1"/>
      <c r="F19" s="1"/>
      <c r="G19" s="189"/>
      <c r="H19" s="189"/>
      <c r="I19" s="189"/>
      <c r="J19" s="189"/>
      <c r="K19" s="189"/>
      <c r="L19" s="189"/>
      <c r="M19" s="189"/>
      <c r="N19" s="189"/>
      <c r="Q19" s="254"/>
      <c r="R19" s="254"/>
      <c r="S19" s="252"/>
      <c r="T19" s="253"/>
      <c r="U19" s="253"/>
      <c r="V19" s="254"/>
      <c r="W19" s="254"/>
      <c r="X19" s="254"/>
      <c r="Y19" s="254"/>
      <c r="Z19" s="285"/>
      <c r="AA19" s="253"/>
      <c r="AB19" s="284"/>
      <c r="AD19" s="287"/>
    </row>
    <row r="20" spans="2:32" s="251" customFormat="1" ht="19.5" customHeight="1">
      <c r="B20" s="85"/>
      <c r="C20" s="1"/>
      <c r="D20" s="1"/>
      <c r="E20" s="1"/>
      <c r="F20" s="1"/>
      <c r="G20" s="189"/>
      <c r="H20" s="189"/>
      <c r="I20" s="189"/>
      <c r="J20" s="189"/>
      <c r="K20" s="189"/>
      <c r="L20" s="189"/>
      <c r="M20" s="189"/>
      <c r="N20" s="189"/>
      <c r="Q20" s="672" t="s">
        <v>259</v>
      </c>
      <c r="R20" s="672"/>
      <c r="S20" s="680" t="s">
        <v>276</v>
      </c>
      <c r="T20" s="681"/>
      <c r="U20" s="672" t="s">
        <v>511</v>
      </c>
      <c r="V20" s="672"/>
      <c r="W20" s="682" t="s">
        <v>512</v>
      </c>
      <c r="X20" s="683"/>
      <c r="Y20" s="682" t="s">
        <v>513</v>
      </c>
      <c r="Z20" s="683"/>
      <c r="AA20" s="682" t="s">
        <v>514</v>
      </c>
      <c r="AB20" s="683"/>
    </row>
    <row r="21" spans="2:32" s="251" customFormat="1" ht="19.5" customHeight="1">
      <c r="B21" s="85"/>
      <c r="C21" s="1"/>
      <c r="D21" s="1"/>
      <c r="E21" s="1"/>
      <c r="F21" s="1"/>
      <c r="G21" s="189"/>
      <c r="H21" s="189"/>
      <c r="I21" s="189"/>
      <c r="J21" s="189"/>
      <c r="K21" s="189"/>
      <c r="L21" s="189"/>
      <c r="M21" s="189"/>
      <c r="N21" s="189"/>
      <c r="Q21" s="672" t="s">
        <v>266</v>
      </c>
      <c r="R21" s="672"/>
      <c r="S21" s="673" t="s">
        <v>407</v>
      </c>
      <c r="T21" s="674"/>
      <c r="U21" s="675">
        <f>ROUNDDOWN(S9+V14*3,0)</f>
        <v>17204</v>
      </c>
      <c r="V21" s="675"/>
      <c r="W21" s="676">
        <f>ROUNDDOWN(S9+V14*8,0)</f>
        <v>14774</v>
      </c>
      <c r="X21" s="677"/>
      <c r="Y21" s="676">
        <f>ROUNDDOWN(S9+V14*14,0)</f>
        <v>11857</v>
      </c>
      <c r="Z21" s="677"/>
      <c r="AA21" s="676">
        <f>ROUNDDOWN(S9+V14*19,0)</f>
        <v>9427</v>
      </c>
      <c r="AB21" s="677"/>
      <c r="AF21" s="286"/>
    </row>
    <row r="22" spans="2:32" s="251" customFormat="1" ht="19.5" customHeight="1">
      <c r="B22" s="85"/>
      <c r="C22" s="1"/>
      <c r="D22" s="1"/>
      <c r="E22" s="1"/>
      <c r="F22" s="1"/>
      <c r="G22" s="189"/>
      <c r="H22" s="189"/>
      <c r="I22" s="189"/>
      <c r="J22" s="189"/>
      <c r="K22" s="189"/>
      <c r="L22" s="189"/>
      <c r="M22" s="189"/>
      <c r="N22" s="189"/>
      <c r="O22" s="33"/>
      <c r="Q22" s="672" t="s">
        <v>268</v>
      </c>
      <c r="R22" s="672"/>
      <c r="S22" s="673" t="s">
        <v>408</v>
      </c>
      <c r="T22" s="674"/>
      <c r="U22" s="675">
        <f>ROUNDDOWN(S9*POWER(1+V15,3),0)</f>
        <v>17525</v>
      </c>
      <c r="V22" s="675"/>
      <c r="W22" s="676">
        <f>ROUNDDOWN(S9*POWER(1+V15,8),0)</f>
        <v>15782</v>
      </c>
      <c r="X22" s="677"/>
      <c r="Y22" s="676">
        <f>ROUNDDOWN(S9*POWER(1+V15,14),0)</f>
        <v>13917</v>
      </c>
      <c r="Z22" s="677"/>
      <c r="AA22" s="676">
        <f>ROUNDDOWN(S9*POWER(1+V15,19),0)</f>
        <v>12532</v>
      </c>
      <c r="AB22" s="677"/>
      <c r="AE22" s="33"/>
      <c r="AF22" s="230"/>
    </row>
    <row r="23" spans="2:32" s="251" customFormat="1" ht="19.5" customHeight="1">
      <c r="B23" s="85"/>
      <c r="C23" s="1"/>
      <c r="D23" s="1"/>
      <c r="E23" s="1"/>
      <c r="F23" s="1"/>
      <c r="G23" s="189"/>
      <c r="H23" s="189"/>
      <c r="I23" s="189"/>
      <c r="J23" s="189"/>
      <c r="K23" s="189"/>
      <c r="L23" s="189"/>
      <c r="M23" s="189"/>
      <c r="N23" s="189"/>
      <c r="O23" s="59"/>
      <c r="Q23" s="672" t="s">
        <v>279</v>
      </c>
      <c r="R23" s="672"/>
      <c r="S23" s="673" t="s">
        <v>409</v>
      </c>
      <c r="T23" s="674"/>
      <c r="U23" s="675">
        <f>ROUNDDOWN(W16*14+X16,0)</f>
        <v>16582</v>
      </c>
      <c r="V23" s="675"/>
      <c r="W23" s="676">
        <f>ROUNDDOWN(W16*19+X16,0)</f>
        <v>14312</v>
      </c>
      <c r="X23" s="677"/>
      <c r="Y23" s="676">
        <f>ROUNDDOWN(W16*24+X16,0)</f>
        <v>12042</v>
      </c>
      <c r="Z23" s="677"/>
      <c r="AA23" s="676">
        <f>ROUNDDOWN(W16*29+X16,0)</f>
        <v>9772</v>
      </c>
      <c r="AB23" s="677"/>
      <c r="AE23" s="59"/>
      <c r="AF23" s="230"/>
    </row>
    <row r="24" spans="2:32" s="251" customFormat="1" ht="19.5" customHeight="1">
      <c r="B24" s="85"/>
      <c r="C24" s="1"/>
      <c r="D24" s="1"/>
      <c r="E24" s="1"/>
      <c r="F24" s="1"/>
      <c r="G24" s="189"/>
      <c r="H24" s="189"/>
      <c r="I24" s="189"/>
      <c r="J24" s="189"/>
      <c r="K24" s="189"/>
      <c r="L24" s="189"/>
      <c r="M24" s="189"/>
      <c r="N24" s="189"/>
      <c r="O24" s="59"/>
      <c r="Q24" s="672" t="s">
        <v>281</v>
      </c>
      <c r="R24" s="672"/>
      <c r="S24" s="673" t="s">
        <v>410</v>
      </c>
      <c r="T24" s="674"/>
      <c r="U24" s="675">
        <f>ROUNDDOWN(W17*U10+X17*14+Y17,0)</f>
        <v>16837</v>
      </c>
      <c r="V24" s="675"/>
      <c r="W24" s="676">
        <f>ROUNDDOWN(W17*U10+X17*19+Y17,0)</f>
        <v>14562</v>
      </c>
      <c r="X24" s="677"/>
      <c r="Y24" s="676">
        <f>ROUNDDOWN(W17*U10+X17*24+Y17,0)</f>
        <v>12288</v>
      </c>
      <c r="Z24" s="677"/>
      <c r="AA24" s="676">
        <f>ROUNDDOWN(W17*U10+X17*29+Y17,0)</f>
        <v>10014</v>
      </c>
      <c r="AB24" s="677"/>
      <c r="AE24" s="59"/>
      <c r="AF24" s="230"/>
    </row>
    <row r="25" spans="2:32" s="251" customFormat="1" ht="19.5" customHeight="1">
      <c r="B25" s="85"/>
      <c r="C25" s="1"/>
      <c r="D25" s="1"/>
      <c r="E25" s="1"/>
      <c r="F25" s="1"/>
      <c r="G25" s="189"/>
      <c r="H25" s="189"/>
      <c r="I25" s="189"/>
      <c r="J25" s="189"/>
      <c r="K25" s="189"/>
      <c r="L25" s="189"/>
      <c r="M25" s="189"/>
      <c r="N25" s="189"/>
      <c r="O25" s="59"/>
      <c r="Q25" s="672" t="s">
        <v>274</v>
      </c>
      <c r="R25" s="672"/>
      <c r="S25" s="673" t="s">
        <v>411</v>
      </c>
      <c r="T25" s="674"/>
      <c r="U25" s="675">
        <f>ROUNDDOWN(W18*POWER(X18,14),0)</f>
        <v>17028</v>
      </c>
      <c r="V25" s="675"/>
      <c r="W25" s="676">
        <f>ROUNDDOWN(W18*POWER(X18,19),0)</f>
        <v>15402</v>
      </c>
      <c r="X25" s="677"/>
      <c r="Y25" s="676">
        <f>ROUNDDOWN(W18*POWER(X18,24),0)</f>
        <v>13931</v>
      </c>
      <c r="Z25" s="677"/>
      <c r="AA25" s="676">
        <f>ROUNDDOWN(W18*POWER(X18,29),0)</f>
        <v>12601</v>
      </c>
      <c r="AB25" s="677"/>
      <c r="AE25" s="59"/>
      <c r="AF25" s="230"/>
    </row>
    <row r="26" spans="2:32" s="251" customFormat="1" ht="12">
      <c r="B26" s="85"/>
      <c r="C26" s="1"/>
      <c r="D26" s="1"/>
      <c r="E26" s="1"/>
      <c r="F26" s="1"/>
      <c r="G26" s="189"/>
      <c r="H26" s="189"/>
      <c r="I26" s="189"/>
      <c r="J26" s="189"/>
      <c r="K26" s="189"/>
      <c r="L26" s="189"/>
      <c r="M26" s="189"/>
      <c r="N26" s="189"/>
      <c r="O26" s="59"/>
      <c r="Q26" s="254"/>
      <c r="R26" s="254"/>
      <c r="S26" s="252" t="s">
        <v>515</v>
      </c>
      <c r="T26" s="253"/>
      <c r="U26" s="253"/>
      <c r="V26" s="254"/>
      <c r="W26" s="254"/>
      <c r="X26" s="254"/>
      <c r="Y26" s="254"/>
      <c r="Z26" s="285"/>
      <c r="AA26" s="253"/>
      <c r="AB26" s="284"/>
      <c r="AE26" s="59"/>
    </row>
    <row r="27" spans="2:32" s="251" customFormat="1" ht="12">
      <c r="B27" s="85"/>
      <c r="C27" s="1"/>
      <c r="D27" s="1"/>
      <c r="E27" s="1"/>
      <c r="F27" s="1"/>
      <c r="G27" s="189"/>
      <c r="H27" s="189"/>
      <c r="I27" s="189"/>
      <c r="J27" s="189"/>
      <c r="K27" s="189"/>
      <c r="L27" s="189"/>
      <c r="M27" s="189"/>
      <c r="N27" s="189"/>
      <c r="O27" s="287"/>
      <c r="Q27" s="254"/>
      <c r="R27" s="254"/>
      <c r="S27" s="252" t="s">
        <v>517</v>
      </c>
      <c r="T27" s="253"/>
      <c r="U27" s="253"/>
      <c r="V27" s="254"/>
      <c r="W27" s="254"/>
      <c r="X27" s="254"/>
      <c r="Y27" s="254"/>
      <c r="Z27" s="285"/>
      <c r="AA27" s="253"/>
      <c r="AB27" s="284"/>
      <c r="AE27" s="287"/>
    </row>
    <row r="28" spans="2:32" s="251" customFormat="1" ht="12">
      <c r="B28" s="85"/>
      <c r="C28" s="1"/>
      <c r="D28" s="1"/>
      <c r="E28" s="1"/>
      <c r="F28" s="1"/>
      <c r="G28" s="189"/>
      <c r="H28" s="189"/>
      <c r="I28" s="189"/>
      <c r="J28" s="189"/>
      <c r="K28" s="189"/>
      <c r="L28" s="189"/>
      <c r="M28" s="189"/>
      <c r="N28" s="189"/>
      <c r="Q28" s="254"/>
      <c r="R28" s="254"/>
      <c r="S28" s="252" t="s">
        <v>516</v>
      </c>
      <c r="T28" s="253"/>
      <c r="U28" s="253"/>
      <c r="V28" s="254"/>
      <c r="W28" s="254"/>
      <c r="X28" s="254"/>
      <c r="Y28" s="254"/>
      <c r="Z28" s="285"/>
      <c r="AA28" s="253"/>
      <c r="AB28" s="284"/>
    </row>
    <row r="29" spans="2:32" s="251" customFormat="1" ht="19.5" customHeight="1">
      <c r="B29" s="85"/>
      <c r="C29" s="1"/>
      <c r="D29" s="1"/>
      <c r="E29" s="1"/>
      <c r="F29" s="1"/>
      <c r="G29" s="189"/>
      <c r="H29" s="189"/>
      <c r="I29" s="189"/>
      <c r="J29" s="189"/>
      <c r="K29" s="189"/>
      <c r="L29" s="189"/>
      <c r="M29" s="189"/>
      <c r="N29" s="189"/>
    </row>
    <row r="30" spans="2:32" s="251" customFormat="1" ht="19.5" customHeight="1">
      <c r="B30" s="85"/>
      <c r="C30" s="1"/>
      <c r="D30" s="1"/>
      <c r="E30" s="1"/>
      <c r="F30" s="1"/>
      <c r="G30" s="189"/>
      <c r="H30" s="189"/>
      <c r="I30" s="189"/>
      <c r="J30" s="189"/>
      <c r="K30" s="189"/>
      <c r="L30" s="189"/>
      <c r="M30" s="189"/>
      <c r="N30" s="189"/>
    </row>
    <row r="31" spans="2:32" s="251" customFormat="1" ht="19.5" customHeight="1">
      <c r="B31" s="85"/>
      <c r="C31" s="1"/>
      <c r="D31" s="1"/>
      <c r="E31" s="1"/>
      <c r="F31" s="1"/>
      <c r="G31" s="189"/>
      <c r="H31" s="189"/>
      <c r="I31" s="189"/>
      <c r="J31" s="189"/>
      <c r="K31" s="189"/>
      <c r="L31" s="189"/>
      <c r="M31" s="189"/>
      <c r="N31" s="189"/>
    </row>
    <row r="32" spans="2:32" s="251" customFormat="1" ht="19.5" customHeight="1">
      <c r="B32" s="85"/>
      <c r="C32" s="1"/>
      <c r="D32" s="1"/>
      <c r="E32" s="1"/>
      <c r="F32" s="1"/>
      <c r="G32" s="189"/>
      <c r="H32" s="189"/>
      <c r="I32" s="189"/>
      <c r="J32" s="189"/>
      <c r="K32" s="189"/>
      <c r="L32" s="189"/>
      <c r="M32" s="189"/>
      <c r="N32" s="189"/>
    </row>
    <row r="33" spans="2:30" s="251" customFormat="1" ht="19.5" customHeight="1">
      <c r="B33" s="85"/>
      <c r="C33" s="1"/>
      <c r="D33" s="1"/>
      <c r="E33" s="1"/>
      <c r="F33" s="1"/>
      <c r="G33" s="189"/>
      <c r="H33" s="189"/>
      <c r="I33" s="189"/>
      <c r="J33" s="189"/>
      <c r="K33" s="189"/>
      <c r="L33" s="189"/>
      <c r="M33" s="189"/>
      <c r="N33" s="189"/>
    </row>
    <row r="34" spans="2:30" s="251" customFormat="1" ht="19.5" customHeight="1">
      <c r="B34" s="85"/>
      <c r="C34" s="1"/>
      <c r="D34" s="1"/>
      <c r="E34" s="1"/>
      <c r="F34" s="1"/>
      <c r="G34" s="189"/>
      <c r="H34" s="189"/>
      <c r="I34" s="189"/>
      <c r="J34" s="189"/>
      <c r="K34" s="189"/>
      <c r="L34" s="189"/>
      <c r="M34" s="189"/>
      <c r="N34" s="189"/>
    </row>
    <row r="35" spans="2:30" s="251" customFormat="1" ht="19.5" customHeight="1">
      <c r="B35" s="85"/>
      <c r="C35" s="1"/>
      <c r="D35" s="1"/>
      <c r="E35" s="1"/>
      <c r="F35" s="1"/>
      <c r="G35" s="189"/>
      <c r="H35" s="189"/>
      <c r="I35" s="189"/>
      <c r="J35" s="189"/>
      <c r="K35" s="189"/>
      <c r="L35" s="189"/>
      <c r="M35" s="189"/>
      <c r="N35" s="189"/>
    </row>
    <row r="36" spans="2:30" s="251" customFormat="1" ht="13.5" customHeight="1">
      <c r="B36" s="85"/>
      <c r="C36" s="1"/>
      <c r="D36" s="1"/>
      <c r="E36" s="1"/>
      <c r="F36" s="1"/>
      <c r="G36" s="189"/>
      <c r="H36" s="189"/>
      <c r="I36" s="189"/>
      <c r="J36" s="189"/>
      <c r="K36" s="189"/>
      <c r="L36" s="189"/>
      <c r="M36" s="189"/>
      <c r="N36" s="189"/>
    </row>
    <row r="37" spans="2:30" s="251" customFormat="1" ht="13.5" customHeight="1">
      <c r="B37" s="85"/>
      <c r="C37" s="1"/>
      <c r="D37" s="1"/>
      <c r="E37" s="1"/>
      <c r="F37" s="1"/>
      <c r="G37" s="189"/>
      <c r="H37" s="189"/>
      <c r="I37" s="189"/>
      <c r="J37" s="189"/>
      <c r="K37" s="189"/>
      <c r="L37" s="189"/>
      <c r="M37" s="189"/>
      <c r="N37" s="189"/>
      <c r="Q37" s="1"/>
      <c r="R37" s="85"/>
      <c r="S37" s="1"/>
      <c r="T37" s="1"/>
      <c r="U37" s="1"/>
      <c r="V37" s="189"/>
      <c r="W37" s="189"/>
      <c r="X37" s="1"/>
      <c r="Y37" s="1"/>
      <c r="Z37" s="1"/>
      <c r="AA37" s="1"/>
      <c r="AB37" s="1"/>
      <c r="AC37" s="1"/>
      <c r="AD37" s="1"/>
    </row>
    <row r="38" spans="2:30" s="251" customFormat="1" ht="13.5" customHeight="1">
      <c r="B38" s="85"/>
      <c r="C38" s="1"/>
      <c r="D38" s="1"/>
      <c r="E38" s="1"/>
      <c r="F38" s="1"/>
      <c r="G38" s="189"/>
      <c r="H38" s="189"/>
      <c r="I38" s="189"/>
      <c r="J38" s="189"/>
      <c r="K38" s="189"/>
      <c r="L38" s="189"/>
      <c r="M38" s="189"/>
      <c r="N38" s="189"/>
      <c r="Q38" s="85"/>
      <c r="R38" s="1"/>
      <c r="S38" s="1"/>
      <c r="T38" s="1"/>
      <c r="U38" s="189"/>
      <c r="V38" s="189"/>
      <c r="W38" s="1"/>
      <c r="X38" s="1"/>
      <c r="Y38" s="1"/>
      <c r="Z38" s="1"/>
      <c r="AA38" s="1"/>
      <c r="AB38" s="1"/>
      <c r="AC38" s="1"/>
      <c r="AD38" s="1"/>
    </row>
    <row r="39" spans="2:30" s="251" customFormat="1" ht="13.5" customHeight="1">
      <c r="B39" s="85"/>
      <c r="C39" s="1"/>
      <c r="D39" s="1"/>
      <c r="E39" s="1"/>
      <c r="F39" s="1"/>
      <c r="G39" s="189"/>
      <c r="H39" s="189"/>
      <c r="I39" s="189"/>
      <c r="J39" s="189"/>
      <c r="K39" s="189"/>
      <c r="L39" s="189"/>
      <c r="M39" s="189"/>
      <c r="N39" s="189"/>
      <c r="Q39" s="85"/>
      <c r="R39" s="1"/>
      <c r="S39" s="1"/>
      <c r="T39" s="1"/>
      <c r="U39" s="189"/>
      <c r="V39" s="189"/>
      <c r="W39" s="189"/>
      <c r="X39" s="189"/>
      <c r="Y39" s="189"/>
      <c r="Z39" s="189"/>
      <c r="AA39" s="189"/>
      <c r="AB39" s="189"/>
      <c r="AC39" s="189"/>
      <c r="AD39" s="189"/>
    </row>
    <row r="40" spans="2:30" s="251" customFormat="1" ht="13.5" customHeight="1">
      <c r="B40" s="85"/>
      <c r="C40" s="1"/>
      <c r="D40" s="1"/>
      <c r="E40" s="1"/>
      <c r="F40" s="1"/>
      <c r="G40" s="189"/>
      <c r="H40" s="189"/>
      <c r="I40" s="189"/>
      <c r="J40" s="189"/>
      <c r="K40" s="189"/>
      <c r="L40" s="189"/>
      <c r="M40" s="189"/>
      <c r="N40" s="189"/>
      <c r="Q40" s="85"/>
      <c r="R40" s="1"/>
      <c r="S40" s="1"/>
      <c r="T40" s="1"/>
      <c r="U40" s="189"/>
      <c r="V40" s="189"/>
      <c r="W40" s="189"/>
      <c r="X40" s="189"/>
      <c r="Y40" s="189"/>
      <c r="Z40" s="189"/>
      <c r="AA40" s="189"/>
      <c r="AB40" s="189"/>
      <c r="AC40" s="189"/>
      <c r="AD40" s="189"/>
    </row>
    <row r="41" spans="2:30" s="251" customFormat="1" ht="13.5" customHeight="1">
      <c r="B41" s="85"/>
      <c r="C41" s="1"/>
      <c r="D41" s="1"/>
      <c r="E41" s="1"/>
      <c r="F41" s="1"/>
      <c r="G41" s="189"/>
      <c r="H41" s="189"/>
      <c r="I41" s="189"/>
      <c r="J41" s="189"/>
      <c r="K41" s="189"/>
      <c r="L41" s="189"/>
      <c r="M41" s="189"/>
      <c r="N41" s="189"/>
      <c r="Q41" s="85"/>
      <c r="R41" s="1"/>
      <c r="S41" s="1"/>
      <c r="T41" s="1"/>
      <c r="U41" s="189"/>
      <c r="V41" s="189"/>
      <c r="W41" s="189"/>
      <c r="X41" s="189"/>
      <c r="Y41" s="189"/>
      <c r="Z41" s="189"/>
      <c r="AA41" s="189"/>
      <c r="AB41" s="189"/>
      <c r="AC41" s="189"/>
      <c r="AD41" s="189"/>
    </row>
    <row r="42" spans="2:30" s="251" customFormat="1" ht="13.5" customHeight="1">
      <c r="B42" s="85"/>
      <c r="C42" s="1"/>
      <c r="D42" s="1"/>
      <c r="E42" s="1"/>
      <c r="F42" s="1"/>
      <c r="G42" s="189"/>
      <c r="H42" s="189"/>
      <c r="I42" s="189"/>
      <c r="J42" s="189"/>
      <c r="K42" s="189"/>
      <c r="L42" s="189"/>
      <c r="M42" s="189"/>
      <c r="N42" s="189"/>
      <c r="Q42" s="85"/>
      <c r="R42" s="1"/>
      <c r="S42" s="1"/>
      <c r="T42" s="1"/>
      <c r="U42" s="189"/>
      <c r="V42" s="189"/>
      <c r="W42" s="189"/>
      <c r="X42" s="189"/>
      <c r="Y42" s="189"/>
      <c r="Z42" s="189"/>
      <c r="AA42" s="189"/>
      <c r="AB42" s="189"/>
      <c r="AC42" s="189"/>
      <c r="AD42" s="189"/>
    </row>
    <row r="43" spans="2:30" s="251" customFormat="1" ht="13.5" customHeight="1">
      <c r="B43" s="85"/>
      <c r="C43" s="1"/>
      <c r="D43" s="1"/>
      <c r="E43" s="1"/>
      <c r="F43" s="1"/>
      <c r="G43" s="189"/>
      <c r="H43" s="189"/>
      <c r="I43" s="189"/>
      <c r="J43" s="189"/>
      <c r="K43" s="189"/>
      <c r="L43" s="189"/>
      <c r="M43" s="189"/>
      <c r="N43" s="189"/>
      <c r="Q43" s="85"/>
      <c r="R43" s="1"/>
      <c r="S43" s="1"/>
      <c r="T43" s="1"/>
      <c r="U43" s="189"/>
      <c r="V43" s="189"/>
      <c r="W43" s="189"/>
      <c r="X43" s="189"/>
      <c r="Y43" s="189"/>
      <c r="Z43" s="189"/>
      <c r="AA43" s="189"/>
      <c r="AB43" s="189"/>
      <c r="AC43" s="189"/>
      <c r="AD43" s="189"/>
    </row>
    <row r="44" spans="2:30" s="251" customFormat="1" ht="13.5" customHeight="1">
      <c r="B44" s="85"/>
      <c r="C44" s="1"/>
      <c r="D44" s="1"/>
      <c r="E44" s="1"/>
      <c r="F44" s="1"/>
      <c r="G44" s="189"/>
      <c r="H44" s="189"/>
      <c r="I44" s="189"/>
      <c r="J44" s="189"/>
      <c r="K44" s="189"/>
      <c r="L44" s="189"/>
      <c r="M44" s="189"/>
      <c r="N44" s="189"/>
      <c r="Q44" s="85"/>
      <c r="R44" s="1"/>
      <c r="S44" s="1"/>
      <c r="T44" s="1"/>
      <c r="U44" s="189"/>
      <c r="V44" s="189"/>
      <c r="W44" s="189"/>
      <c r="X44" s="189"/>
      <c r="Y44" s="189"/>
      <c r="Z44" s="189"/>
      <c r="AA44" s="189"/>
      <c r="AB44" s="189"/>
      <c r="AC44" s="189"/>
      <c r="AD44" s="189"/>
    </row>
  </sheetData>
  <mergeCells count="39">
    <mergeCell ref="AA25:AB25"/>
    <mergeCell ref="Q24:R24"/>
    <mergeCell ref="S24:T24"/>
    <mergeCell ref="U24:V24"/>
    <mergeCell ref="W24:X24"/>
    <mergeCell ref="Y24:Z24"/>
    <mergeCell ref="AA24:AB24"/>
    <mergeCell ref="Q25:R25"/>
    <mergeCell ref="S25:T25"/>
    <mergeCell ref="U25:V25"/>
    <mergeCell ref="W25:X25"/>
    <mergeCell ref="Y25:Z25"/>
    <mergeCell ref="AA23:AB23"/>
    <mergeCell ref="Q22:R22"/>
    <mergeCell ref="S22:T22"/>
    <mergeCell ref="U22:V22"/>
    <mergeCell ref="W22:X22"/>
    <mergeCell ref="Y22:Z22"/>
    <mergeCell ref="AA22:AB22"/>
    <mergeCell ref="Q23:R23"/>
    <mergeCell ref="S23:T23"/>
    <mergeCell ref="U23:V23"/>
    <mergeCell ref="W23:X23"/>
    <mergeCell ref="Y23:Z23"/>
    <mergeCell ref="B5:D5"/>
    <mergeCell ref="B3:D4"/>
    <mergeCell ref="AA21:AB21"/>
    <mergeCell ref="Z13:AA13"/>
    <mergeCell ref="Q20:R20"/>
    <mergeCell ref="S20:T20"/>
    <mergeCell ref="U20:V20"/>
    <mergeCell ref="W20:X20"/>
    <mergeCell ref="Y20:Z20"/>
    <mergeCell ref="AA20:AB20"/>
    <mergeCell ref="Q21:R21"/>
    <mergeCell ref="S21:T21"/>
    <mergeCell ref="U21:V21"/>
    <mergeCell ref="W21:X21"/>
    <mergeCell ref="Y21:Z21"/>
  </mergeCells>
  <phoneticPr fontId="3"/>
  <pageMargins left="0.59055118110236227" right="0.59055118110236227" top="1.3779527559055118" bottom="0.78740157480314965" header="0.98425196850393704" footer="0.51181102362204722"/>
  <pageSetup paperSize="9" orientation="landscape" horizontalDpi="400" verticalDpi="400" r:id="rId1"/>
  <headerFooter alignWithMargins="0">
    <oddHeader>&amp;L&amp;"HGｺﾞｼｯｸM,ﾒﾃﾞｨｳﾑ"&amp;16産業中分類別工業出荷額&amp;R&amp;"HGｺﾞｼｯｸM,ﾒﾃﾞｨｳﾑ"
高森町　②産業　C0202-2産業中分類別工業出荷額</oddHeader>
    <oddFooter>&amp;R&amp;"HGｺﾞｼｯｸM,ﾒﾃﾞｨｳﾑ"C0202-2産業中分類別工業出荷額　&amp;P+7/9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3</vt:i4>
      </vt:variant>
    </vt:vector>
  </HeadingPairs>
  <TitlesOfParts>
    <vt:vector size="14" baseType="lpstr">
      <vt:lpstr>C0201-1産業大分類別就業者数</vt:lpstr>
      <vt:lpstr>C0201-1産業大分類別就業者数 (2)</vt:lpstr>
      <vt:lpstr>C0201-1産業推計</vt:lpstr>
      <vt:lpstr>C0201-1産業推計計算式</vt:lpstr>
      <vt:lpstr>C0201-2職業大分類別就業者数</vt:lpstr>
      <vt:lpstr>C0201-2職業大分類別就業者数 (2)</vt:lpstr>
      <vt:lpstr>C0202-1事業所数・従業者数・売上金額</vt:lpstr>
      <vt:lpstr>C0202-2工業出荷額</vt:lpstr>
      <vt:lpstr>C0202-2将来工業出荷額</vt:lpstr>
      <vt:lpstr>C0202-3商業販売額</vt:lpstr>
      <vt:lpstr>C0202-3将来商業販売額</vt:lpstr>
      <vt:lpstr>'C0202-2工業出荷額'!Print_Area</vt:lpstr>
      <vt:lpstr>'C0202-3商業販売額'!Print_Area</vt:lpstr>
      <vt:lpstr>'C0202-3将来商業販売額'!Print_Area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kk139p</dc:creator>
  <cp:lastModifiedBy>kk135p</cp:lastModifiedBy>
  <cp:lastPrinted>2020-03-04T01:17:39Z</cp:lastPrinted>
  <dcterms:created xsi:type="dcterms:W3CDTF">2001-07-16T09:47:23Z</dcterms:created>
  <dcterms:modified xsi:type="dcterms:W3CDTF">2020-03-04T01:17:51Z</dcterms:modified>
</cp:coreProperties>
</file>